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8355" windowHeight="4065" tabRatio="334" activeTab="0"/>
  </bookViews>
  <sheets>
    <sheet name="arkusz 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<sst xmlns="http://schemas.openxmlformats.org/spreadsheetml/2006/main" count="235" uniqueCount="142">
  <si>
    <t>Dział</t>
  </si>
  <si>
    <t>Rozdział</t>
  </si>
  <si>
    <t>Paragraf</t>
  </si>
  <si>
    <t>Treść</t>
  </si>
  <si>
    <t>Własne</t>
  </si>
  <si>
    <t>Zlecone</t>
  </si>
  <si>
    <t>Wpływy z różnych dochodów</t>
  </si>
  <si>
    <t>Leśnictwo</t>
  </si>
  <si>
    <t>Gospodarka leśna</t>
  </si>
  <si>
    <t>Transport i łączność</t>
  </si>
  <si>
    <t>Drogi publiczne powiatowe</t>
  </si>
  <si>
    <t>Wpływy z różnych opłat</t>
  </si>
  <si>
    <t>Gospodarka mieszkaniowa</t>
  </si>
  <si>
    <t>Działalność usługowa</t>
  </si>
  <si>
    <t>Nadzór budowlany</t>
  </si>
  <si>
    <t>Administracja publiczna</t>
  </si>
  <si>
    <t>Urzędy wojewódzkie</t>
  </si>
  <si>
    <t>Starostwa powiatowe</t>
  </si>
  <si>
    <t>Komisje poborowe</t>
  </si>
  <si>
    <t>Różne rozliczenia</t>
  </si>
  <si>
    <t>Różne rozliczenia finansowe</t>
  </si>
  <si>
    <t>Pozostałe odsetki</t>
  </si>
  <si>
    <t>Oświata i wychowanie</t>
  </si>
  <si>
    <t>Szkoły podstawowe specjalne</t>
  </si>
  <si>
    <t>Gimnazja specjalne</t>
  </si>
  <si>
    <t>Licea ogólnokształcące</t>
  </si>
  <si>
    <t>Szkoły zawodowe</t>
  </si>
  <si>
    <t>Ochrona zdrowia</t>
  </si>
  <si>
    <t>Wpływy z usług</t>
  </si>
  <si>
    <t>Domy pomocy społecznej</t>
  </si>
  <si>
    <t>Rodziny zastępcze</t>
  </si>
  <si>
    <t>Powiatowe centra pomocy rodzinie</t>
  </si>
  <si>
    <t>Powiatowe urzędu pracy</t>
  </si>
  <si>
    <t>Razem</t>
  </si>
  <si>
    <t>Dotacje celowe otrzymane z budżetu państwa na  zadania bieżące z zakresu administracji rządowej  oraz inne zadania zlecone ustawami realizowane przez powiat</t>
  </si>
  <si>
    <t>Gospodarka gruntami i nieruchomościami</t>
  </si>
  <si>
    <t>Wpływy z opłat za zarząd,użytkowanie i użytkowanie wieczyste nieruchomości</t>
  </si>
  <si>
    <t>Dochody jednostek samorządu terytorialnego związane z realizacją zadań z zakresu administracji rządowej  oraz innych zadań zleconych ustawami</t>
  </si>
  <si>
    <t>Opracowania geodezyjne i kartograficzne</t>
  </si>
  <si>
    <t>Dotacje celowe otrzymane z budżetu państwa na  zadania bieżące realizowane przez powiat na  podstawie porozumień z organami administracji rządowej</t>
  </si>
  <si>
    <t>Bezpieczeństwo publiczne i ochrona przeciwpożarowa</t>
  </si>
  <si>
    <t>Komendy powiatowe Państwowej Straży Pożarnej</t>
  </si>
  <si>
    <t>Udziały powiatów w podatkach stanowiących dochód budżetu państwa</t>
  </si>
  <si>
    <t>Część oświatowa subwencji ogólnej dla jednostek samorządu terytorialnego</t>
  </si>
  <si>
    <t>Subwencje ogólne z budżetu państwa</t>
  </si>
  <si>
    <t>Część wyrównawcza subwencji ogólnej dla powiatów</t>
  </si>
  <si>
    <t>Podatek dochodowy od osób fizycznych</t>
  </si>
  <si>
    <t>Dotacje celowe otrzymane z budżetu państwa na  realizację bieżących zadań własnych powiatu</t>
  </si>
  <si>
    <t>Edukacyjna opieka wychowawcza</t>
  </si>
  <si>
    <t>Placówki opiekuńczo-wychowawcze</t>
  </si>
  <si>
    <t>Składki na ubezpieczenie zdrowotne oraz świadczenia dla osób nie objętych obowiązkiem ubezpieczenia</t>
  </si>
  <si>
    <t>Państwowy Fundusz Rehabilitacji Osób Niepełnosprawnych</t>
  </si>
  <si>
    <t>Pomoc społeczna</t>
  </si>
  <si>
    <t>Pozostałe zadania w zakresie polityki społecznej</t>
  </si>
  <si>
    <t>Szkoły zawodowe specjalne</t>
  </si>
  <si>
    <t>Wpływy z opłaty komunikacyjnej</t>
  </si>
  <si>
    <t>Część równoważąca subwencji ogólnej dla powiatów</t>
  </si>
  <si>
    <t>Podatek dochodowy od osób prawnych</t>
  </si>
  <si>
    <t>Środki otrzymane od pozostałych jednostek zaliczanych do sektora finansów publicznych na realizację zadań bieżących jednostek zaliczanych do sektora finansów publicznych</t>
  </si>
  <si>
    <t>0970</t>
  </si>
  <si>
    <t>0830</t>
  </si>
  <si>
    <t>0690</t>
  </si>
  <si>
    <t>0870</t>
  </si>
  <si>
    <t>0010</t>
  </si>
  <si>
    <t>0020</t>
  </si>
  <si>
    <t>0420</t>
  </si>
  <si>
    <t>0430</t>
  </si>
  <si>
    <t>0470</t>
  </si>
  <si>
    <t>0570</t>
  </si>
  <si>
    <t>0580</t>
  </si>
  <si>
    <t>0750</t>
  </si>
  <si>
    <t>0840</t>
  </si>
  <si>
    <t>0920</t>
  </si>
  <si>
    <t>0960</t>
  </si>
  <si>
    <t>dotacje z zakresu admin. rządowej ( 211,212,641)</t>
  </si>
  <si>
    <t>dottacje z budżetu na zadania własne( 213,643)</t>
  </si>
  <si>
    <t>razem dotacje z budzetu państwa</t>
  </si>
  <si>
    <t>subwencje</t>
  </si>
  <si>
    <t>oświatowa</t>
  </si>
  <si>
    <t>wyrównawcza</t>
  </si>
  <si>
    <t>dotacje z funduszy</t>
  </si>
  <si>
    <t>dotacje z funduszu na zad, wlasne</t>
  </si>
  <si>
    <t>udział w pod doch od osób fizycznych</t>
  </si>
  <si>
    <t>dochody własne</t>
  </si>
  <si>
    <t>dotacje z gmin</t>
  </si>
  <si>
    <t>Razem dochody</t>
  </si>
  <si>
    <t>udział w pod doch od osób prawnych</t>
  </si>
  <si>
    <t>równowaząca</t>
  </si>
  <si>
    <t>dotacje z jst</t>
  </si>
  <si>
    <t>Dochody z najmu i dzierżawy składników majątkowych Skarbu Państwa, jednostek samorządu terytorialnego  lub innych jednostek zaliczanych do sektora finansów publicznych oraz innych umów o podobnym charakterze</t>
  </si>
  <si>
    <t>Wpływy ze sprzedaży składników majątkowych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</si>
  <si>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</si>
  <si>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</si>
  <si>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Dotacje celowe otrzymane z powiatu na zadnia bieżące realizowane na podstawie porozumień (umów) między jednostkami samorządu terytorialnego</t>
  </si>
  <si>
    <t>0680</t>
  </si>
  <si>
    <t>Ośrodki wsparcia</t>
  </si>
  <si>
    <t>Internaty i bursy szkolne</t>
  </si>
  <si>
    <t>Pomoc materialna dla uczniów</t>
  </si>
  <si>
    <t>dotacje z UE</t>
  </si>
  <si>
    <t>Centra kształcenia ustawicznego i praktycznego oraz ośrodki dokształcania zawodowego</t>
  </si>
  <si>
    <t>0910</t>
  </si>
  <si>
    <t>Fundusz Pracy</t>
  </si>
  <si>
    <t>Pozostała działalność</t>
  </si>
  <si>
    <t>Wpływy z tytułu pomocy finansowej udzielanej między jednostkami samorządu terytorialnego na dofinansowanie własnych zadań inwestycyjnych i zakupów inwestycyjnych</t>
  </si>
  <si>
    <t>Środki z Funduszu Pracy otrzymane przez powiat z przeznaczeniem na finansowanie kosztów wynagrodzenia i składek na ubezpieczenia społeczne pracowników powiatowego urzędu pracy</t>
  </si>
  <si>
    <t>Otrzymane spadki, zapisy i darowizny w postaci pieniężnej</t>
  </si>
  <si>
    <t>Dotacje celowe otrzymane z budżetu państwa na inwestycje i zakupy inwestycyjne z zakresu administracji rządowej oraz inne zadania zlecone ustawami realizowane przez powiat</t>
  </si>
  <si>
    <t>Stosunek 6:5</t>
  </si>
  <si>
    <t>Dotacje celowe otrzymane z gminy na inwestycje i zakupy inwestycyjne realizowane na podstawie porozumień (umów) między jednostkami  samorządu terytorialnego</t>
  </si>
  <si>
    <t>0490</t>
  </si>
  <si>
    <t>Wpływy z innych lokalnych opłat pobieranych przez jednostki samorządu terytorialnego na podstawie odrębnych ustaw</t>
  </si>
  <si>
    <t>Środki na dofinansowanie własnych zadań bieżących gmin (związków gmin), powiatów (związków powiatów), samorządów województw, pozyskane z innych źródeł</t>
  </si>
  <si>
    <t>Pozostala działalność</t>
  </si>
  <si>
    <t xml:space="preserve"> </t>
  </si>
  <si>
    <t>Jednostki specjalistycznego poradnictwa, mieszkania chronione i ośrodki interwencji kryzysowej</t>
  </si>
  <si>
    <t>Dotacje celowe otrzymane z budżetu państwa na realizację bieżących zadań własnych powiatu</t>
  </si>
  <si>
    <t>Gospodarka komunalna i ochrona środowiska</t>
  </si>
  <si>
    <t>Fundusz Ochrony Środowiska i Gospodarki Wodnej</t>
  </si>
  <si>
    <t>Dotacje otrzymane z funduszy celowych na realizację zadań bieżących jednostek sektora finansów publicznych</t>
  </si>
  <si>
    <t>0927</t>
  </si>
  <si>
    <t>Wpływy od rodziców z tytułu odpłatności za utrzymanie dzieci (wychowanków) w placówkach opiekuńczo-wychowawczych</t>
  </si>
  <si>
    <t>Poradnie psychologiczno-pedagogiczne, w tym poradnie specjalistyczne</t>
  </si>
  <si>
    <t>Zespoły do spraw orzekania niepełnosprawności</t>
  </si>
  <si>
    <t>dochody majatkowe</t>
  </si>
  <si>
    <t>dochody ze sprzed. Majatku</t>
  </si>
  <si>
    <t>dochody biezace</t>
  </si>
  <si>
    <t>Uzupełnieniesubwencji ogólnej dla jednostek samorządu terytorialnego</t>
  </si>
  <si>
    <t>Przeciwdziałanie alkoholizmowi</t>
  </si>
  <si>
    <t>uzupełnienie subwencji ogólnej</t>
  </si>
  <si>
    <t>WYKONANIE DOCHODÓW NA 31 GRUDNIA  2008 R.</t>
  </si>
  <si>
    <t>Plan na                      31.12.2008 r.</t>
  </si>
  <si>
    <t>Wykonanie na 31.12.2008 r.</t>
  </si>
  <si>
    <t>Drogi publiczne wojewódzkie</t>
  </si>
  <si>
    <t>Wpływy z tytułu pomocy finansowej udzielanej między jednostkami samorządu terytorialnego na dofinansowanie własnych zadań bieżących</t>
  </si>
  <si>
    <t>0770</t>
  </si>
  <si>
    <t>Wpłaty z tytułu odpłatnego nabycia prawa własności oraz prawa użytkowania wieczystego nieruchomości</t>
  </si>
  <si>
    <t>Środki na uzupełnienie dochodów powiatów</t>
  </si>
  <si>
    <t>Dotacje otrzymane z funduszy celowych na finansowanie lub dofinansowanie kosztów realizacji inwestycji i zakupów inwestycyjnych jednostek sektora finansów publicznych</t>
  </si>
  <si>
    <t>Dotacje rozwojowe</t>
  </si>
  <si>
    <t>Dotacje rozwojowe oraz środki na finansowanie Wspólnej Polityki Rolnej</t>
  </si>
  <si>
    <t>dotacje rozwojowe</t>
  </si>
  <si>
    <t>Dotacje celowe otrzymane z budżetu państwa na realizację inwestycji i zakupów inwestycyjnych własnych powiatu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</si>
</sst>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0.00"/>
    <numFmt numFmtId="174" formatCode="???,??0.00"/>
    <numFmt numFmtId="175" formatCode="00000"/>
    <numFmt numFmtId="176" formatCode="??,??0.00"/>
    <numFmt numFmtId="177" formatCode="???"/>
    <numFmt numFmtId="178" formatCode="?,??0.00"/>
    <numFmt numFmtId="179" formatCode="??0.00"/>
    <numFmt numFmtId="180" formatCode="?????"/>
    <numFmt numFmtId="181" formatCode="?"/>
    <numFmt numFmtId="182" formatCode="?,???,??0.00"/>
    <numFmt numFmtId="183" formatCode="??,???,??0.00"/>
    <numFmt numFmtId="184" formatCode="??,???,??0.0"/>
    <numFmt numFmtId="185" formatCode="0.0"/>
    <numFmt numFmtId="186" formatCode="0.0000"/>
    <numFmt numFmtId="187" formatCode="0.000"/>
    <numFmt numFmtId="188" formatCode="0.00000"/>
    <numFmt numFmtId="189" formatCode="#,##0.0"/>
  </numFmts>
  <fonts count="54">
    <font>
      <sz val="10"/>
      <name val="Arial"/>
      <family val="0"/>
    </font>
    <font>
      <b/>
      <sz val="8.5"/>
      <color indexed="10"/>
      <name val="Arial"/>
      <family val="0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b/>
      <sz val="8.5"/>
      <name val="Arial"/>
      <family val="0"/>
    </font>
    <font>
      <b/>
      <sz val="8"/>
      <name val="Arial CE"/>
      <family val="0"/>
    </font>
    <font>
      <b/>
      <i/>
      <sz val="10"/>
      <name val="Arial"/>
      <family val="2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2"/>
    </font>
    <font>
      <sz val="10"/>
      <name val="Arial CE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11"/>
      <color indexed="10"/>
      <name val="Czcionka tekstu podstawowego"/>
      <family val="2"/>
    </font>
    <font>
      <sz val="11"/>
      <color indexed="11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1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>
        <color indexed="10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10"/>
      </right>
      <top style="thin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10"/>
      </right>
      <top>
        <color indexed="1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10"/>
      </right>
      <top>
        <color indexed="63"/>
      </top>
      <bottom style="thin"/>
    </border>
    <border>
      <left>
        <color indexed="10"/>
      </left>
      <right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/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10"/>
      </right>
      <top style="thin"/>
      <bottom style="thin">
        <color indexed="10"/>
      </bottom>
    </border>
    <border>
      <left style="thin">
        <color indexed="10"/>
      </left>
      <right>
        <color indexed="10"/>
      </right>
      <top style="thin"/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/>
      <right>
        <color indexed="10"/>
      </right>
      <top>
        <color indexed="63"/>
      </top>
      <bottom style="thin">
        <color indexed="10"/>
      </bottom>
    </border>
    <border>
      <left style="thin"/>
      <right>
        <color indexed="10"/>
      </right>
      <top style="thin">
        <color indexed="10"/>
      </top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 style="thin"/>
    </border>
    <border>
      <left style="thin"/>
      <right style="thin"/>
      <top style="thin">
        <color indexed="10"/>
      </top>
      <bottom style="thin"/>
    </border>
    <border>
      <left>
        <color indexed="10"/>
      </left>
      <right>
        <color indexed="10"/>
      </right>
      <top style="thin"/>
      <bottom style="thin">
        <color indexed="10"/>
      </bottom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/>
    </border>
    <border>
      <left style="thin"/>
      <right>
        <color indexed="10"/>
      </right>
      <top style="thin"/>
      <bottom>
        <color indexed="10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 style="thin"/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10" xfId="42" applyFont="1" applyBorder="1">
      <alignment/>
      <protection/>
    </xf>
    <xf numFmtId="0" fontId="0" fillId="0" borderId="11" xfId="42" applyFont="1" applyBorder="1">
      <alignment/>
      <protection/>
    </xf>
    <xf numFmtId="0" fontId="0" fillId="33" borderId="12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0" fillId="0" borderId="13" xfId="42" applyFont="1" applyBorder="1">
      <alignment/>
      <protection/>
    </xf>
    <xf numFmtId="0" fontId="0" fillId="33" borderId="14" xfId="42" applyFont="1" applyFill="1" applyBorder="1">
      <alignment/>
      <protection/>
    </xf>
    <xf numFmtId="0" fontId="3" fillId="33" borderId="15" xfId="42" applyFont="1" applyFill="1" applyBorder="1" applyAlignment="1">
      <alignment horizontal="left" vertical="top"/>
      <protection/>
    </xf>
    <xf numFmtId="0" fontId="0" fillId="34" borderId="13" xfId="42" applyFont="1" applyFill="1" applyBorder="1">
      <alignment/>
      <protection/>
    </xf>
    <xf numFmtId="175" fontId="2" fillId="34" borderId="13" xfId="42" applyNumberFormat="1" applyFont="1" applyFill="1" applyBorder="1" applyAlignment="1">
      <alignment horizontal="left" vertical="top"/>
      <protection/>
    </xf>
    <xf numFmtId="0" fontId="0" fillId="34" borderId="14" xfId="42" applyFont="1" applyFill="1" applyBorder="1">
      <alignment/>
      <protection/>
    </xf>
    <xf numFmtId="0" fontId="0" fillId="34" borderId="12" xfId="42" applyFont="1" applyFill="1" applyBorder="1">
      <alignment/>
      <protection/>
    </xf>
    <xf numFmtId="0" fontId="0" fillId="34" borderId="10" xfId="42" applyFont="1" applyFill="1" applyBorder="1">
      <alignment/>
      <protection/>
    </xf>
    <xf numFmtId="0" fontId="2" fillId="34" borderId="15" xfId="42" applyFont="1" applyFill="1" applyBorder="1" applyAlignment="1">
      <alignment horizontal="left" vertical="top"/>
      <protection/>
    </xf>
    <xf numFmtId="177" fontId="2" fillId="0" borderId="12" xfId="42" applyNumberFormat="1" applyFont="1" applyBorder="1" applyAlignment="1">
      <alignment horizontal="left" vertical="top"/>
      <protection/>
    </xf>
    <xf numFmtId="180" fontId="2" fillId="34" borderId="13" xfId="42" applyNumberFormat="1" applyFont="1" applyFill="1" applyBorder="1" applyAlignment="1">
      <alignment horizontal="left" vertical="top"/>
      <protection/>
    </xf>
    <xf numFmtId="177" fontId="2" fillId="0" borderId="14" xfId="42" applyNumberFormat="1" applyFont="1" applyBorder="1" applyAlignment="1">
      <alignment horizontal="left" vertical="top"/>
      <protection/>
    </xf>
    <xf numFmtId="0" fontId="3" fillId="33" borderId="15" xfId="42" applyFont="1" applyFill="1" applyBorder="1" applyAlignment="1">
      <alignment horizontal="left" vertical="top" wrapText="1"/>
      <protection/>
    </xf>
    <xf numFmtId="0" fontId="2" fillId="34" borderId="15" xfId="42" applyFont="1" applyFill="1" applyBorder="1" applyAlignment="1">
      <alignment horizontal="left" vertical="top" wrapText="1"/>
      <protection/>
    </xf>
    <xf numFmtId="0" fontId="2" fillId="0" borderId="16" xfId="42" applyFont="1" applyBorder="1" applyAlignment="1">
      <alignment horizontal="left" vertical="top" wrapText="1"/>
      <protection/>
    </xf>
    <xf numFmtId="0" fontId="2" fillId="0" borderId="15" xfId="42" applyFont="1" applyBorder="1" applyAlignment="1">
      <alignment horizontal="left" vertical="top" wrapText="1"/>
      <protection/>
    </xf>
    <xf numFmtId="0" fontId="3" fillId="33" borderId="16" xfId="42" applyFont="1" applyFill="1" applyBorder="1" applyAlignment="1">
      <alignment horizontal="left" vertical="top" wrapText="1"/>
      <protection/>
    </xf>
    <xf numFmtId="0" fontId="2" fillId="34" borderId="16" xfId="42" applyFont="1" applyFill="1" applyBorder="1" applyAlignment="1">
      <alignment horizontal="left" vertical="top" wrapText="1"/>
      <protection/>
    </xf>
    <xf numFmtId="3" fontId="3" fillId="33" borderId="15" xfId="42" applyNumberFormat="1" applyFont="1" applyFill="1" applyBorder="1" applyAlignment="1">
      <alignment vertical="top"/>
      <protection/>
    </xf>
    <xf numFmtId="3" fontId="2" fillId="34" borderId="15" xfId="42" applyNumberFormat="1" applyFont="1" applyFill="1" applyBorder="1" applyAlignment="1">
      <alignment vertical="top"/>
      <protection/>
    </xf>
    <xf numFmtId="3" fontId="2" fillId="0" borderId="16" xfId="42" applyNumberFormat="1" applyFont="1" applyBorder="1" applyAlignment="1">
      <alignment vertical="top"/>
      <protection/>
    </xf>
    <xf numFmtId="3" fontId="2" fillId="0" borderId="15" xfId="42" applyNumberFormat="1" applyFont="1" applyBorder="1" applyAlignment="1">
      <alignment vertical="top"/>
      <protection/>
    </xf>
    <xf numFmtId="3" fontId="2" fillId="34" borderId="15" xfId="42" applyNumberFormat="1" applyFont="1" applyFill="1" applyBorder="1" applyAlignment="1">
      <alignment vertical="top" wrapText="1"/>
      <protection/>
    </xf>
    <xf numFmtId="3" fontId="3" fillId="33" borderId="16" xfId="42" applyNumberFormat="1" applyFont="1" applyFill="1" applyBorder="1" applyAlignment="1">
      <alignment vertical="top"/>
      <protection/>
    </xf>
    <xf numFmtId="3" fontId="2" fillId="34" borderId="16" xfId="42" applyNumberFormat="1" applyFont="1" applyFill="1" applyBorder="1" applyAlignment="1">
      <alignment vertical="top" wrapText="1"/>
      <protection/>
    </xf>
    <xf numFmtId="3" fontId="2" fillId="34" borderId="16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3" fontId="2" fillId="0" borderId="10" xfId="42" applyNumberFormat="1" applyFont="1" applyBorder="1" applyAlignment="1">
      <alignment vertical="top"/>
      <protection/>
    </xf>
    <xf numFmtId="3" fontId="2" fillId="0" borderId="17" xfId="42" applyNumberFormat="1" applyFont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2" fillId="0" borderId="17" xfId="42" applyFont="1" applyBorder="1" applyAlignment="1">
      <alignment horizontal="left" vertical="top" wrapText="1"/>
      <protection/>
    </xf>
    <xf numFmtId="3" fontId="2" fillId="0" borderId="13" xfId="42" applyNumberFormat="1" applyFont="1" applyBorder="1" applyAlignment="1">
      <alignment vertical="top"/>
      <protection/>
    </xf>
    <xf numFmtId="180" fontId="2" fillId="34" borderId="18" xfId="42" applyNumberFormat="1" applyFont="1" applyFill="1" applyBorder="1" applyAlignment="1">
      <alignment horizontal="left" vertical="top"/>
      <protection/>
    </xf>
    <xf numFmtId="0" fontId="1" fillId="0" borderId="19" xfId="42" applyFont="1" applyBorder="1" applyAlignment="1">
      <alignment horizontal="center" vertical="center"/>
      <protection/>
    </xf>
    <xf numFmtId="0" fontId="1" fillId="0" borderId="20" xfId="42" applyFont="1" applyBorder="1" applyAlignment="1">
      <alignment horizontal="center" vertical="center"/>
      <protection/>
    </xf>
    <xf numFmtId="177" fontId="2" fillId="0" borderId="21" xfId="42" applyNumberFormat="1" applyFont="1" applyBorder="1" applyAlignment="1">
      <alignment horizontal="left" vertical="top"/>
      <protection/>
    </xf>
    <xf numFmtId="0" fontId="2" fillId="0" borderId="18" xfId="42" applyFont="1" applyBorder="1" applyAlignment="1">
      <alignment horizontal="left" vertical="top" wrapText="1"/>
      <protection/>
    </xf>
    <xf numFmtId="3" fontId="3" fillId="33" borderId="13" xfId="42" applyNumberFormat="1" applyFont="1" applyFill="1" applyBorder="1" applyAlignment="1">
      <alignment vertical="top"/>
      <protection/>
    </xf>
    <xf numFmtId="3" fontId="2" fillId="0" borderId="22" xfId="42" applyNumberFormat="1" applyFont="1" applyBorder="1" applyAlignment="1">
      <alignment vertical="top"/>
      <protection/>
    </xf>
    <xf numFmtId="3" fontId="2" fillId="34" borderId="19" xfId="42" applyNumberFormat="1" applyFont="1" applyFill="1" applyBorder="1" applyAlignment="1">
      <alignment vertical="top"/>
      <protection/>
    </xf>
    <xf numFmtId="3" fontId="3" fillId="33" borderId="10" xfId="42" applyNumberFormat="1" applyFont="1" applyFill="1" applyBorder="1" applyAlignment="1">
      <alignment vertical="top" wrapText="1"/>
      <protection/>
    </xf>
    <xf numFmtId="3" fontId="2" fillId="34" borderId="13" xfId="42" applyNumberFormat="1" applyFont="1" applyFill="1" applyBorder="1" applyAlignment="1">
      <alignment vertical="top" wrapText="1"/>
      <protection/>
    </xf>
    <xf numFmtId="3" fontId="2" fillId="34" borderId="10" xfId="42" applyNumberFormat="1" applyFont="1" applyFill="1" applyBorder="1" applyAlignment="1">
      <alignment vertical="top" wrapText="1"/>
      <protection/>
    </xf>
    <xf numFmtId="0" fontId="4" fillId="0" borderId="17" xfId="42" applyFont="1" applyFill="1" applyBorder="1" applyAlignment="1">
      <alignment horizontal="center" vertical="center"/>
      <protection/>
    </xf>
    <xf numFmtId="10" fontId="5" fillId="33" borderId="17" xfId="42" applyNumberFormat="1" applyFont="1" applyFill="1" applyBorder="1" applyAlignment="1">
      <alignment vertical="top"/>
      <protection/>
    </xf>
    <xf numFmtId="10" fontId="3" fillId="0" borderId="0" xfId="42" applyNumberFormat="1" applyFont="1" applyFill="1" applyBorder="1" applyAlignment="1">
      <alignment vertical="top"/>
      <protection/>
    </xf>
    <xf numFmtId="0" fontId="0" fillId="0" borderId="23" xfId="42" applyFont="1" applyBorder="1">
      <alignment/>
      <protection/>
    </xf>
    <xf numFmtId="3" fontId="2" fillId="0" borderId="18" xfId="42" applyNumberFormat="1" applyFont="1" applyBorder="1" applyAlignment="1">
      <alignment vertical="top"/>
      <protection/>
    </xf>
    <xf numFmtId="3" fontId="2" fillId="0" borderId="23" xfId="42" applyNumberFormat="1" applyFont="1" applyBorder="1" applyAlignment="1">
      <alignment vertical="top"/>
      <protection/>
    </xf>
    <xf numFmtId="4" fontId="3" fillId="33" borderId="15" xfId="42" applyNumberFormat="1" applyFont="1" applyFill="1" applyBorder="1" applyAlignment="1">
      <alignment horizontal="left" vertical="top" wrapText="1"/>
      <protection/>
    </xf>
    <xf numFmtId="0" fontId="0" fillId="34" borderId="13" xfId="42" applyFont="1" applyFill="1" applyBorder="1">
      <alignment/>
      <protection/>
    </xf>
    <xf numFmtId="0" fontId="0" fillId="34" borderId="14" xfId="42" applyFont="1" applyFill="1" applyBorder="1">
      <alignment/>
      <protection/>
    </xf>
    <xf numFmtId="0" fontId="8" fillId="34" borderId="15" xfId="42" applyFont="1" applyFill="1" applyBorder="1" applyAlignment="1">
      <alignment horizontal="left" vertical="top" wrapText="1"/>
      <protection/>
    </xf>
    <xf numFmtId="3" fontId="8" fillId="34" borderId="15" xfId="42" applyNumberFormat="1" applyFont="1" applyFill="1" applyBorder="1" applyAlignment="1">
      <alignment vertical="top"/>
      <protection/>
    </xf>
    <xf numFmtId="177" fontId="8" fillId="0" borderId="12" xfId="42" applyNumberFormat="1" applyFont="1" applyBorder="1" applyAlignment="1">
      <alignment horizontal="left" vertical="top"/>
      <protection/>
    </xf>
    <xf numFmtId="0" fontId="8" fillId="0" borderId="16" xfId="42" applyFont="1" applyBorder="1" applyAlignment="1">
      <alignment horizontal="left" vertical="top" wrapText="1"/>
      <protection/>
    </xf>
    <xf numFmtId="3" fontId="8" fillId="0" borderId="16" xfId="42" applyNumberFormat="1" applyFont="1" applyBorder="1" applyAlignment="1">
      <alignment vertical="top"/>
      <protection/>
    </xf>
    <xf numFmtId="3" fontId="8" fillId="0" borderId="10" xfId="42" applyNumberFormat="1" applyFont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172" fontId="2" fillId="0" borderId="14" xfId="42" applyNumberFormat="1" applyFont="1" applyBorder="1" applyAlignment="1" quotePrefix="1">
      <alignment horizontal="left" vertical="top"/>
      <protection/>
    </xf>
    <xf numFmtId="3" fontId="2" fillId="0" borderId="15" xfId="42" applyNumberFormat="1" applyFont="1" applyBorder="1" applyAlignment="1">
      <alignment vertical="top"/>
      <protection/>
    </xf>
    <xf numFmtId="3" fontId="2" fillId="0" borderId="13" xfId="42" applyNumberFormat="1" applyFont="1" applyBorder="1" applyAlignment="1">
      <alignment vertical="top"/>
      <protection/>
    </xf>
    <xf numFmtId="3" fontId="2" fillId="0" borderId="18" xfId="42" applyNumberFormat="1" applyFont="1" applyBorder="1" applyAlignment="1">
      <alignment vertical="top"/>
      <protection/>
    </xf>
    <xf numFmtId="3" fontId="2" fillId="0" borderId="23" xfId="42" applyNumberFormat="1" applyFont="1" applyBorder="1" applyAlignment="1">
      <alignment vertical="top"/>
      <protection/>
    </xf>
    <xf numFmtId="3" fontId="2" fillId="0" borderId="16" xfId="42" applyNumberFormat="1" applyFont="1" applyBorder="1" applyAlignment="1">
      <alignment vertical="top"/>
      <protection/>
    </xf>
    <xf numFmtId="3" fontId="2" fillId="0" borderId="10" xfId="42" applyNumberFormat="1" applyFont="1" applyBorder="1" applyAlignment="1">
      <alignment vertical="top"/>
      <protection/>
    </xf>
    <xf numFmtId="3" fontId="2" fillId="0" borderId="22" xfId="42" applyNumberFormat="1" applyFont="1" applyBorder="1" applyAlignment="1">
      <alignment vertical="top"/>
      <protection/>
    </xf>
    <xf numFmtId="0" fontId="0" fillId="0" borderId="24" xfId="42" applyFont="1" applyBorder="1">
      <alignment/>
      <protection/>
    </xf>
    <xf numFmtId="0" fontId="0" fillId="0" borderId="25" xfId="42" applyFont="1" applyBorder="1">
      <alignment/>
      <protection/>
    </xf>
    <xf numFmtId="3" fontId="2" fillId="0" borderId="26" xfId="42" applyNumberFormat="1" applyFont="1" applyBorder="1" applyAlignment="1">
      <alignment vertical="top"/>
      <protection/>
    </xf>
    <xf numFmtId="0" fontId="0" fillId="34" borderId="19" xfId="42" applyFont="1" applyFill="1" applyBorder="1">
      <alignment/>
      <protection/>
    </xf>
    <xf numFmtId="0" fontId="0" fillId="34" borderId="27" xfId="42" applyFont="1" applyFill="1" applyBorder="1">
      <alignment/>
      <protection/>
    </xf>
    <xf numFmtId="0" fontId="2" fillId="34" borderId="20" xfId="42" applyFont="1" applyFill="1" applyBorder="1" applyAlignment="1">
      <alignment horizontal="left" vertical="top" wrapText="1"/>
      <protection/>
    </xf>
    <xf numFmtId="3" fontId="2" fillId="34" borderId="20" xfId="42" applyNumberFormat="1" applyFont="1" applyFill="1" applyBorder="1" applyAlignment="1">
      <alignment vertical="top"/>
      <protection/>
    </xf>
    <xf numFmtId="0" fontId="0" fillId="0" borderId="28" xfId="42" applyFont="1" applyBorder="1">
      <alignment/>
      <protection/>
    </xf>
    <xf numFmtId="0" fontId="0" fillId="0" borderId="29" xfId="42" applyFont="1" applyBorder="1">
      <alignment/>
      <protection/>
    </xf>
    <xf numFmtId="0" fontId="0" fillId="0" borderId="30" xfId="42" applyFont="1" applyBorder="1">
      <alignment/>
      <protection/>
    </xf>
    <xf numFmtId="3" fontId="2" fillId="34" borderId="31" xfId="42" applyNumberFormat="1" applyFont="1" applyFill="1" applyBorder="1" applyAlignment="1">
      <alignment vertical="top" wrapText="1"/>
      <protection/>
    </xf>
    <xf numFmtId="3" fontId="2" fillId="34" borderId="11" xfId="42" applyNumberFormat="1" applyFont="1" applyFill="1" applyBorder="1" applyAlignment="1">
      <alignment vertical="top" wrapText="1"/>
      <protection/>
    </xf>
    <xf numFmtId="0" fontId="0" fillId="0" borderId="14" xfId="42" applyFont="1" applyBorder="1">
      <alignment/>
      <protection/>
    </xf>
    <xf numFmtId="0" fontId="0" fillId="0" borderId="21" xfId="42" applyFont="1" applyBorder="1">
      <alignment/>
      <protection/>
    </xf>
    <xf numFmtId="0" fontId="0" fillId="0" borderId="12" xfId="42" applyFont="1" applyBorder="1">
      <alignment/>
      <protection/>
    </xf>
    <xf numFmtId="180" fontId="8" fillId="34" borderId="14" xfId="42" applyNumberFormat="1" applyFont="1" applyFill="1" applyBorder="1" applyAlignment="1">
      <alignment horizontal="left" vertical="top"/>
      <protection/>
    </xf>
    <xf numFmtId="180" fontId="2" fillId="34" borderId="14" xfId="42" applyNumberFormat="1" applyFont="1" applyFill="1" applyBorder="1" applyAlignment="1">
      <alignment horizontal="left" vertical="top"/>
      <protection/>
    </xf>
    <xf numFmtId="180" fontId="2" fillId="0" borderId="0" xfId="42" applyNumberFormat="1" applyFont="1" applyFill="1" applyBorder="1" applyAlignment="1">
      <alignment horizontal="left" vertical="top"/>
      <protection/>
    </xf>
    <xf numFmtId="180" fontId="2" fillId="34" borderId="12" xfId="42" applyNumberFormat="1" applyFont="1" applyFill="1" applyBorder="1" applyAlignment="1">
      <alignment horizontal="left" vertical="top"/>
      <protection/>
    </xf>
    <xf numFmtId="0" fontId="0" fillId="0" borderId="32" xfId="42" applyFont="1" applyBorder="1">
      <alignment/>
      <protection/>
    </xf>
    <xf numFmtId="0" fontId="0" fillId="0" borderId="33" xfId="42" applyFont="1" applyBorder="1">
      <alignment/>
      <protection/>
    </xf>
    <xf numFmtId="0" fontId="0" fillId="33" borderId="19" xfId="42" applyFont="1" applyFill="1" applyBorder="1">
      <alignment/>
      <protection/>
    </xf>
    <xf numFmtId="0" fontId="0" fillId="33" borderId="27" xfId="42" applyFont="1" applyFill="1" applyBorder="1">
      <alignment/>
      <protection/>
    </xf>
    <xf numFmtId="0" fontId="3" fillId="33" borderId="20" xfId="42" applyFont="1" applyFill="1" applyBorder="1" applyAlignment="1">
      <alignment horizontal="left" vertical="top" wrapText="1"/>
      <protection/>
    </xf>
    <xf numFmtId="3" fontId="3" fillId="33" borderId="20" xfId="42" applyNumberFormat="1" applyFont="1" applyFill="1" applyBorder="1" applyAlignment="1">
      <alignment vertical="top" wrapText="1"/>
      <protection/>
    </xf>
    <xf numFmtId="3" fontId="3" fillId="33" borderId="19" xfId="42" applyNumberFormat="1" applyFont="1" applyFill="1" applyBorder="1" applyAlignment="1">
      <alignment vertical="top" wrapText="1"/>
      <protection/>
    </xf>
    <xf numFmtId="180" fontId="2" fillId="34" borderId="34" xfId="42" applyNumberFormat="1" applyFont="1" applyFill="1" applyBorder="1" applyAlignment="1">
      <alignment horizontal="left" vertical="top"/>
      <protection/>
    </xf>
    <xf numFmtId="0" fontId="2" fillId="34" borderId="20" xfId="42" applyFont="1" applyFill="1" applyBorder="1" applyAlignment="1">
      <alignment horizontal="left" vertical="top"/>
      <protection/>
    </xf>
    <xf numFmtId="180" fontId="2" fillId="34" borderId="32" xfId="42" applyNumberFormat="1" applyFont="1" applyFill="1" applyBorder="1" applyAlignment="1">
      <alignment horizontal="left" vertical="top"/>
      <protection/>
    </xf>
    <xf numFmtId="0" fontId="0" fillId="0" borderId="35" xfId="42" applyFont="1" applyBorder="1">
      <alignment/>
      <protection/>
    </xf>
    <xf numFmtId="172" fontId="2" fillId="0" borderId="21" xfId="42" applyNumberFormat="1" applyFont="1" applyBorder="1" applyAlignment="1" quotePrefix="1">
      <alignment horizontal="left" vertical="top"/>
      <protection/>
    </xf>
    <xf numFmtId="3" fontId="2" fillId="0" borderId="25" xfId="42" applyNumberFormat="1" applyFont="1" applyBorder="1" applyAlignment="1">
      <alignment vertical="top"/>
      <protection/>
    </xf>
    <xf numFmtId="3" fontId="2" fillId="0" borderId="0" xfId="42" applyNumberFormat="1" applyFont="1" applyBorder="1" applyAlignment="1">
      <alignment vertical="top"/>
      <protection/>
    </xf>
    <xf numFmtId="180" fontId="2" fillId="34" borderId="27" xfId="42" applyNumberFormat="1" applyFont="1" applyFill="1" applyBorder="1" applyAlignment="1">
      <alignment horizontal="left" vertical="top"/>
      <protection/>
    </xf>
    <xf numFmtId="0" fontId="0" fillId="0" borderId="36" xfId="42" applyFont="1" applyBorder="1">
      <alignment/>
      <protection/>
    </xf>
    <xf numFmtId="0" fontId="0" fillId="0" borderId="37" xfId="42" applyFont="1" applyBorder="1">
      <alignment/>
      <protection/>
    </xf>
    <xf numFmtId="177" fontId="3" fillId="33" borderId="17" xfId="42" applyNumberFormat="1" applyFont="1" applyFill="1" applyBorder="1" applyAlignment="1">
      <alignment horizontal="left" vertical="top"/>
      <protection/>
    </xf>
    <xf numFmtId="177" fontId="2" fillId="0" borderId="28" xfId="42" applyNumberFormat="1" applyFont="1" applyBorder="1" applyAlignment="1">
      <alignment horizontal="left" vertical="top"/>
      <protection/>
    </xf>
    <xf numFmtId="0" fontId="2" fillId="0" borderId="26" xfId="42" applyFont="1" applyBorder="1" applyAlignment="1">
      <alignment horizontal="left" vertical="top" wrapText="1"/>
      <protection/>
    </xf>
    <xf numFmtId="3" fontId="2" fillId="0" borderId="18" xfId="42" applyNumberFormat="1" applyFont="1" applyFill="1" applyBorder="1" applyAlignment="1">
      <alignment vertical="top"/>
      <protection/>
    </xf>
    <xf numFmtId="0" fontId="0" fillId="0" borderId="10" xfId="42" applyFont="1" applyFill="1" applyBorder="1">
      <alignment/>
      <protection/>
    </xf>
    <xf numFmtId="0" fontId="2" fillId="0" borderId="16" xfId="42" applyFont="1" applyFill="1" applyBorder="1" applyAlignment="1">
      <alignment horizontal="left" vertical="top"/>
      <protection/>
    </xf>
    <xf numFmtId="3" fontId="2" fillId="0" borderId="16" xfId="42" applyNumberFormat="1" applyFont="1" applyFill="1" applyBorder="1" applyAlignment="1">
      <alignment vertical="top"/>
      <protection/>
    </xf>
    <xf numFmtId="177" fontId="2" fillId="0" borderId="38" xfId="42" applyNumberFormat="1" applyFont="1" applyBorder="1" applyAlignment="1">
      <alignment horizontal="left" vertical="top"/>
      <protection/>
    </xf>
    <xf numFmtId="0" fontId="2" fillId="0" borderId="39" xfId="42" applyFont="1" applyBorder="1" applyAlignment="1">
      <alignment horizontal="left" vertical="top" wrapText="1"/>
      <protection/>
    </xf>
    <xf numFmtId="3" fontId="2" fillId="0" borderId="39" xfId="42" applyNumberFormat="1" applyFont="1" applyBorder="1" applyAlignment="1">
      <alignment vertical="top"/>
      <protection/>
    </xf>
    <xf numFmtId="3" fontId="2" fillId="0" borderId="40" xfId="42" applyNumberFormat="1" applyFont="1" applyBorder="1" applyAlignment="1">
      <alignment vertical="top"/>
      <protection/>
    </xf>
    <xf numFmtId="0" fontId="0" fillId="0" borderId="17" xfId="42" applyFont="1" applyFill="1" applyBorder="1" quotePrefix="1">
      <alignment/>
      <protection/>
    </xf>
    <xf numFmtId="3" fontId="0" fillId="0" borderId="17" xfId="42" applyNumberFormat="1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0" fillId="0" borderId="17" xfId="42" applyFont="1" applyFill="1" applyBorder="1" applyAlignment="1">
      <alignment vertical="top"/>
      <protection/>
    </xf>
    <xf numFmtId="0" fontId="0" fillId="0" borderId="0" xfId="42" applyFont="1" applyFill="1">
      <alignment/>
      <protection/>
    </xf>
    <xf numFmtId="3" fontId="9" fillId="0" borderId="17" xfId="42" applyNumberFormat="1" applyFont="1" applyFill="1" applyBorder="1" applyAlignment="1">
      <alignment vertical="top"/>
      <protection/>
    </xf>
    <xf numFmtId="3" fontId="7" fillId="0" borderId="17" xfId="42" applyNumberFormat="1" applyFont="1" applyFill="1" applyBorder="1" applyAlignment="1">
      <alignment vertical="top"/>
      <protection/>
    </xf>
    <xf numFmtId="3" fontId="0" fillId="0" borderId="17" xfId="42" applyNumberFormat="1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2" fillId="0" borderId="12" xfId="42" applyFont="1" applyFill="1" applyBorder="1" quotePrefix="1">
      <alignment/>
      <protection/>
    </xf>
    <xf numFmtId="0" fontId="12" fillId="0" borderId="21" xfId="42" applyFont="1" applyFill="1" applyBorder="1" quotePrefix="1">
      <alignment/>
      <protection/>
    </xf>
    <xf numFmtId="3" fontId="13" fillId="0" borderId="17" xfId="42" applyNumberFormat="1" applyFont="1" applyFill="1" applyBorder="1" applyAlignment="1">
      <alignment vertical="top"/>
      <protection/>
    </xf>
    <xf numFmtId="0" fontId="14" fillId="0" borderId="17" xfId="42" applyFont="1" applyFill="1" applyBorder="1">
      <alignment/>
      <protection/>
    </xf>
    <xf numFmtId="0" fontId="15" fillId="0" borderId="17" xfId="42" applyFont="1" applyFill="1" applyBorder="1">
      <alignment/>
      <protection/>
    </xf>
    <xf numFmtId="0" fontId="16" fillId="0" borderId="17" xfId="42" applyFont="1" applyFill="1" applyBorder="1">
      <alignment/>
      <protection/>
    </xf>
    <xf numFmtId="0" fontId="17" fillId="0" borderId="17" xfId="42" applyFont="1" applyFill="1" applyBorder="1">
      <alignment/>
      <protection/>
    </xf>
    <xf numFmtId="0" fontId="3" fillId="0" borderId="0" xfId="42" applyFont="1" applyBorder="1" applyAlignment="1">
      <alignment horizontal="right" vertical="top" wrapText="1"/>
      <protection/>
    </xf>
    <xf numFmtId="3" fontId="3" fillId="0" borderId="0" xfId="42" applyNumberFormat="1" applyFont="1" applyBorder="1" applyAlignment="1">
      <alignment vertical="top" wrapText="1"/>
      <protection/>
    </xf>
    <xf numFmtId="0" fontId="0" fillId="0" borderId="38" xfId="42" applyFont="1" applyBorder="1">
      <alignment/>
      <protection/>
    </xf>
    <xf numFmtId="180" fontId="2" fillId="34" borderId="41" xfId="42" applyNumberFormat="1" applyFont="1" applyFill="1" applyBorder="1" applyAlignment="1">
      <alignment horizontal="left" vertical="top"/>
      <protection/>
    </xf>
    <xf numFmtId="0" fontId="0" fillId="0" borderId="21" xfId="42" applyFont="1" applyFill="1" applyBorder="1">
      <alignment/>
      <protection/>
    </xf>
    <xf numFmtId="180" fontId="2" fillId="0" borderId="29" xfId="42" applyNumberFormat="1" applyFont="1" applyFill="1" applyBorder="1" applyAlignment="1">
      <alignment horizontal="left" vertical="top"/>
      <protection/>
    </xf>
    <xf numFmtId="180" fontId="2" fillId="0" borderId="11" xfId="42" applyNumberFormat="1" applyFont="1" applyFill="1" applyBorder="1" applyAlignment="1">
      <alignment horizontal="left" vertical="top"/>
      <protection/>
    </xf>
    <xf numFmtId="3" fontId="0" fillId="0" borderId="17" xfId="42" applyNumberFormat="1" applyFont="1" applyFill="1" applyBorder="1">
      <alignment/>
      <protection/>
    </xf>
    <xf numFmtId="0" fontId="2" fillId="34" borderId="16" xfId="42" applyFont="1" applyFill="1" applyBorder="1" applyAlignment="1">
      <alignment horizontal="left" vertical="top" wrapText="1"/>
      <protection/>
    </xf>
    <xf numFmtId="2" fontId="0" fillId="0" borderId="0" xfId="42" applyNumberFormat="1" applyFont="1">
      <alignment/>
      <protection/>
    </xf>
    <xf numFmtId="0" fontId="1" fillId="0" borderId="0" xfId="42" applyFont="1" applyBorder="1" applyAlignment="1">
      <alignment horizontal="center" vertical="center"/>
      <protection/>
    </xf>
    <xf numFmtId="4" fontId="3" fillId="33" borderId="15" xfId="42" applyNumberFormat="1" applyFont="1" applyFill="1" applyBorder="1" applyAlignment="1">
      <alignment vertical="top"/>
      <protection/>
    </xf>
    <xf numFmtId="4" fontId="2" fillId="34" borderId="15" xfId="42" applyNumberFormat="1" applyFont="1" applyFill="1" applyBorder="1" applyAlignment="1">
      <alignment vertical="top"/>
      <protection/>
    </xf>
    <xf numFmtId="4" fontId="2" fillId="0" borderId="0" xfId="42" applyNumberFormat="1" applyFont="1" applyBorder="1" applyAlignment="1">
      <alignment vertical="top"/>
      <protection/>
    </xf>
    <xf numFmtId="4" fontId="3" fillId="33" borderId="16" xfId="42" applyNumberFormat="1" applyFont="1" applyFill="1" applyBorder="1" applyAlignment="1">
      <alignment vertical="top"/>
      <protection/>
    </xf>
    <xf numFmtId="4" fontId="2" fillId="0" borderId="28" xfId="42" applyNumberFormat="1" applyFont="1" applyBorder="1" applyAlignment="1">
      <alignment vertical="top"/>
      <protection/>
    </xf>
    <xf numFmtId="4" fontId="2" fillId="0" borderId="22" xfId="42" applyNumberFormat="1" applyFont="1" applyBorder="1" applyAlignment="1">
      <alignment vertical="top"/>
      <protection/>
    </xf>
    <xf numFmtId="4" fontId="2" fillId="0" borderId="25" xfId="42" applyNumberFormat="1" applyFont="1" applyBorder="1" applyAlignment="1">
      <alignment vertical="top"/>
      <protection/>
    </xf>
    <xf numFmtId="4" fontId="2" fillId="0" borderId="22" xfId="42" applyNumberFormat="1" applyFont="1" applyBorder="1" applyAlignment="1">
      <alignment vertical="top"/>
      <protection/>
    </xf>
    <xf numFmtId="4" fontId="2" fillId="0" borderId="0" xfId="42" applyNumberFormat="1" applyFont="1" applyBorder="1" applyAlignment="1">
      <alignment vertical="top"/>
      <protection/>
    </xf>
    <xf numFmtId="4" fontId="2" fillId="0" borderId="28" xfId="42" applyNumberFormat="1" applyFont="1" applyBorder="1" applyAlignment="1">
      <alignment vertical="top"/>
      <protection/>
    </xf>
    <xf numFmtId="4" fontId="2" fillId="0" borderId="17" xfId="42" applyNumberFormat="1" applyFont="1" applyBorder="1" applyAlignment="1">
      <alignment vertical="top"/>
      <protection/>
    </xf>
    <xf numFmtId="172" fontId="2" fillId="0" borderId="12" xfId="42" applyNumberFormat="1" applyFont="1" applyBorder="1" applyAlignment="1" quotePrefix="1">
      <alignment horizontal="left" vertical="top"/>
      <protection/>
    </xf>
    <xf numFmtId="10" fontId="5" fillId="34" borderId="17" xfId="42" applyNumberFormat="1" applyFont="1" applyFill="1" applyBorder="1" applyAlignment="1">
      <alignment vertical="top"/>
      <protection/>
    </xf>
    <xf numFmtId="10" fontId="5" fillId="35" borderId="17" xfId="42" applyNumberFormat="1" applyFont="1" applyFill="1" applyBorder="1" applyAlignment="1">
      <alignment vertical="top"/>
      <protection/>
    </xf>
    <xf numFmtId="3" fontId="2" fillId="0" borderId="28" xfId="42" applyNumberFormat="1" applyFont="1" applyBorder="1" applyAlignment="1">
      <alignment vertical="top"/>
      <protection/>
    </xf>
    <xf numFmtId="4" fontId="3" fillId="33" borderId="13" xfId="42" applyNumberFormat="1" applyFont="1" applyFill="1" applyBorder="1" applyAlignment="1">
      <alignment vertical="top"/>
      <protection/>
    </xf>
    <xf numFmtId="4" fontId="2" fillId="34" borderId="19" xfId="42" applyNumberFormat="1" applyFont="1" applyFill="1" applyBorder="1" applyAlignment="1">
      <alignment vertical="top"/>
      <protection/>
    </xf>
    <xf numFmtId="4" fontId="2" fillId="34" borderId="20" xfId="42" applyNumberFormat="1" applyFont="1" applyFill="1" applyBorder="1" applyAlignment="1">
      <alignment vertical="top"/>
      <protection/>
    </xf>
    <xf numFmtId="4" fontId="3" fillId="33" borderId="20" xfId="42" applyNumberFormat="1" applyFont="1" applyFill="1" applyBorder="1" applyAlignment="1">
      <alignment vertical="top" wrapText="1"/>
      <protection/>
    </xf>
    <xf numFmtId="4" fontId="2" fillId="34" borderId="15" xfId="42" applyNumberFormat="1" applyFont="1" applyFill="1" applyBorder="1" applyAlignment="1">
      <alignment vertical="top" wrapText="1"/>
      <protection/>
    </xf>
    <xf numFmtId="4" fontId="2" fillId="34" borderId="13" xfId="42" applyNumberFormat="1" applyFont="1" applyFill="1" applyBorder="1" applyAlignment="1">
      <alignment vertical="top" wrapText="1"/>
      <protection/>
    </xf>
    <xf numFmtId="4" fontId="2" fillId="34" borderId="11" xfId="42" applyNumberFormat="1" applyFont="1" applyFill="1" applyBorder="1" applyAlignment="1">
      <alignment vertical="top" wrapText="1"/>
      <protection/>
    </xf>
    <xf numFmtId="0" fontId="0" fillId="0" borderId="0" xfId="42" applyFont="1" applyBorder="1">
      <alignment/>
      <protection/>
    </xf>
    <xf numFmtId="0" fontId="0" fillId="0" borderId="10" xfId="42" applyFont="1" applyBorder="1">
      <alignment/>
      <protection/>
    </xf>
    <xf numFmtId="0" fontId="8" fillId="34" borderId="16" xfId="42" applyFont="1" applyFill="1" applyBorder="1" applyAlignment="1">
      <alignment horizontal="left" vertical="top" wrapText="1"/>
      <protection/>
    </xf>
    <xf numFmtId="3" fontId="8" fillId="34" borderId="16" xfId="42" applyNumberFormat="1" applyFont="1" applyFill="1" applyBorder="1" applyAlignment="1">
      <alignment vertical="top"/>
      <protection/>
    </xf>
    <xf numFmtId="3" fontId="8" fillId="34" borderId="10" xfId="42" applyNumberFormat="1" applyFont="1" applyFill="1" applyBorder="1" applyAlignment="1">
      <alignment vertical="top"/>
      <protection/>
    </xf>
    <xf numFmtId="3" fontId="2" fillId="34" borderId="0" xfId="42" applyNumberFormat="1" applyFont="1" applyFill="1" applyBorder="1" applyAlignment="1">
      <alignment vertical="top"/>
      <protection/>
    </xf>
    <xf numFmtId="4" fontId="2" fillId="34" borderId="10" xfId="42" applyNumberFormat="1" applyFont="1" applyFill="1" applyBorder="1" applyAlignment="1">
      <alignment vertical="top" wrapText="1"/>
      <protection/>
    </xf>
    <xf numFmtId="4" fontId="3" fillId="33" borderId="19" xfId="42" applyNumberFormat="1" applyFont="1" applyFill="1" applyBorder="1" applyAlignment="1">
      <alignment vertical="top" wrapText="1"/>
      <protection/>
    </xf>
    <xf numFmtId="3" fontId="2" fillId="35" borderId="17" xfId="42" applyNumberFormat="1" applyFont="1" applyFill="1" applyBorder="1" applyAlignment="1">
      <alignment vertical="top"/>
      <protection/>
    </xf>
    <xf numFmtId="4" fontId="2" fillId="35" borderId="17" xfId="42" applyNumberFormat="1" applyFont="1" applyFill="1" applyBorder="1" applyAlignment="1">
      <alignment vertical="top"/>
      <protection/>
    </xf>
    <xf numFmtId="0" fontId="12" fillId="35" borderId="17" xfId="42" applyFont="1" applyFill="1" applyBorder="1">
      <alignment/>
      <protection/>
    </xf>
    <xf numFmtId="10" fontId="5" fillId="34" borderId="41" xfId="42" applyNumberFormat="1" applyFont="1" applyFill="1" applyBorder="1" applyAlignment="1">
      <alignment vertical="top"/>
      <protection/>
    </xf>
    <xf numFmtId="4" fontId="2" fillId="0" borderId="42" xfId="42" applyNumberFormat="1" applyFont="1" applyBorder="1" applyAlignment="1">
      <alignment vertical="top"/>
      <protection/>
    </xf>
    <xf numFmtId="4" fontId="2" fillId="0" borderId="43" xfId="42" applyNumberFormat="1" applyFont="1" applyBorder="1" applyAlignment="1">
      <alignment vertical="top"/>
      <protection/>
    </xf>
    <xf numFmtId="4" fontId="2" fillId="0" borderId="42" xfId="42" applyNumberFormat="1" applyFont="1" applyBorder="1" applyAlignment="1">
      <alignment vertical="top"/>
      <protection/>
    </xf>
    <xf numFmtId="3" fontId="2" fillId="34" borderId="17" xfId="42" applyNumberFormat="1" applyFont="1" applyFill="1" applyBorder="1" applyAlignment="1">
      <alignment vertical="top"/>
      <protection/>
    </xf>
    <xf numFmtId="4" fontId="2" fillId="34" borderId="17" xfId="42" applyNumberFormat="1" applyFont="1" applyFill="1" applyBorder="1" applyAlignment="1">
      <alignment vertical="top"/>
      <protection/>
    </xf>
    <xf numFmtId="4" fontId="2" fillId="0" borderId="44" xfId="42" applyNumberFormat="1" applyFont="1" applyBorder="1" applyAlignment="1">
      <alignment vertical="top"/>
      <protection/>
    </xf>
    <xf numFmtId="4" fontId="2" fillId="34" borderId="42" xfId="42" applyNumberFormat="1" applyFont="1" applyFill="1" applyBorder="1" applyAlignment="1">
      <alignment vertical="top"/>
      <protection/>
    </xf>
    <xf numFmtId="4" fontId="8" fillId="34" borderId="16" xfId="42" applyNumberFormat="1" applyFont="1" applyFill="1" applyBorder="1" applyAlignment="1">
      <alignment vertical="top"/>
      <protection/>
    </xf>
    <xf numFmtId="3" fontId="2" fillId="34" borderId="20" xfId="42" applyNumberFormat="1" applyFont="1" applyFill="1" applyBorder="1" applyAlignment="1">
      <alignment vertical="top" wrapText="1"/>
      <protection/>
    </xf>
    <xf numFmtId="4" fontId="2" fillId="34" borderId="20" xfId="42" applyNumberFormat="1" applyFont="1" applyFill="1" applyBorder="1" applyAlignment="1">
      <alignment vertical="top" wrapText="1"/>
      <protection/>
    </xf>
    <xf numFmtId="3" fontId="8" fillId="0" borderId="17" xfId="42" applyNumberFormat="1" applyFont="1" applyBorder="1" applyAlignment="1">
      <alignment vertical="top"/>
      <protection/>
    </xf>
    <xf numFmtId="4" fontId="8" fillId="0" borderId="17" xfId="42" applyNumberFormat="1" applyFont="1" applyBorder="1" applyAlignment="1">
      <alignment vertical="top"/>
      <protection/>
    </xf>
    <xf numFmtId="3" fontId="8" fillId="34" borderId="17" xfId="42" applyNumberFormat="1" applyFont="1" applyFill="1" applyBorder="1" applyAlignment="1">
      <alignment vertical="top"/>
      <protection/>
    </xf>
    <xf numFmtId="4" fontId="8" fillId="34" borderId="17" xfId="42" applyNumberFormat="1" applyFont="1" applyFill="1" applyBorder="1" applyAlignment="1">
      <alignment vertical="top"/>
      <protection/>
    </xf>
    <xf numFmtId="4" fontId="2" fillId="34" borderId="16" xfId="42" applyNumberFormat="1" applyFont="1" applyFill="1" applyBorder="1" applyAlignment="1">
      <alignment vertical="top" wrapText="1"/>
      <protection/>
    </xf>
    <xf numFmtId="3" fontId="2" fillId="35" borderId="17" xfId="42" applyNumberFormat="1" applyFont="1" applyFill="1" applyBorder="1" applyAlignment="1">
      <alignment vertical="top" wrapText="1"/>
      <protection/>
    </xf>
    <xf numFmtId="4" fontId="2" fillId="35" borderId="17" xfId="42" applyNumberFormat="1" applyFont="1" applyFill="1" applyBorder="1" applyAlignment="1">
      <alignment vertical="top" wrapText="1"/>
      <protection/>
    </xf>
    <xf numFmtId="4" fontId="2" fillId="34" borderId="31" xfId="42" applyNumberFormat="1" applyFont="1" applyFill="1" applyBorder="1" applyAlignment="1">
      <alignment vertical="top" wrapText="1"/>
      <protection/>
    </xf>
    <xf numFmtId="0" fontId="1" fillId="0" borderId="17" xfId="42" applyFont="1" applyBorder="1" applyAlignment="1">
      <alignment horizontal="center" vertical="center" wrapText="1"/>
      <protection/>
    </xf>
    <xf numFmtId="3" fontId="2" fillId="0" borderId="17" xfId="42" applyNumberFormat="1" applyFont="1" applyBorder="1" applyAlignment="1">
      <alignment vertical="top"/>
      <protection/>
    </xf>
    <xf numFmtId="4" fontId="2" fillId="0" borderId="17" xfId="42" applyNumberFormat="1" applyFont="1" applyBorder="1" applyAlignment="1">
      <alignment vertical="top"/>
      <protection/>
    </xf>
    <xf numFmtId="4" fontId="2" fillId="34" borderId="27" xfId="42" applyNumberFormat="1" applyFont="1" applyFill="1" applyBorder="1" applyAlignment="1">
      <alignment vertical="top"/>
      <protection/>
    </xf>
    <xf numFmtId="3" fontId="2" fillId="0" borderId="19" xfId="42" applyNumberFormat="1" applyFont="1" applyBorder="1" applyAlignment="1">
      <alignment vertical="top"/>
      <protection/>
    </xf>
    <xf numFmtId="3" fontId="2" fillId="34" borderId="17" xfId="42" applyNumberFormat="1" applyFont="1" applyFill="1" applyBorder="1" applyAlignment="1">
      <alignment vertical="top"/>
      <protection/>
    </xf>
    <xf numFmtId="0" fontId="0" fillId="34" borderId="22" xfId="42" applyFont="1" applyFill="1" applyBorder="1">
      <alignment/>
      <protection/>
    </xf>
    <xf numFmtId="0" fontId="0" fillId="34" borderId="41" xfId="42" applyFont="1" applyFill="1" applyBorder="1">
      <alignment/>
      <protection/>
    </xf>
    <xf numFmtId="0" fontId="0" fillId="35" borderId="22" xfId="42" applyFont="1" applyFill="1" applyBorder="1">
      <alignment/>
      <protection/>
    </xf>
    <xf numFmtId="3" fontId="2" fillId="34" borderId="45" xfId="42" applyNumberFormat="1" applyFont="1" applyFill="1" applyBorder="1" applyAlignment="1">
      <alignment vertical="top" wrapText="1"/>
      <protection/>
    </xf>
    <xf numFmtId="180" fontId="2" fillId="34" borderId="17" xfId="42" applyNumberFormat="1" applyFont="1" applyFill="1" applyBorder="1" applyAlignment="1">
      <alignment horizontal="left" vertical="top"/>
      <protection/>
    </xf>
    <xf numFmtId="0" fontId="0" fillId="0" borderId="11" xfId="42" applyFont="1" applyBorder="1">
      <alignment/>
      <protection/>
    </xf>
    <xf numFmtId="177" fontId="2" fillId="35" borderId="41" xfId="42" applyNumberFormat="1" applyFont="1" applyFill="1" applyBorder="1" applyAlignment="1">
      <alignment horizontal="left" vertical="top"/>
      <protection/>
    </xf>
    <xf numFmtId="0" fontId="2" fillId="34" borderId="41" xfId="42" applyFont="1" applyFill="1" applyBorder="1" applyAlignment="1">
      <alignment horizontal="left" vertical="top" wrapText="1"/>
      <protection/>
    </xf>
    <xf numFmtId="177" fontId="2" fillId="34" borderId="41" xfId="42" applyNumberFormat="1" applyFont="1" applyFill="1" applyBorder="1" applyAlignment="1">
      <alignment horizontal="left" vertical="top"/>
      <protection/>
    </xf>
    <xf numFmtId="0" fontId="0" fillId="0" borderId="22" xfId="42" applyFont="1" applyBorder="1">
      <alignment/>
      <protection/>
    </xf>
    <xf numFmtId="172" fontId="2" fillId="0" borderId="41" xfId="42" applyNumberFormat="1" applyFont="1" applyBorder="1" applyAlignment="1" quotePrefix="1">
      <alignment horizontal="left" vertical="top"/>
      <protection/>
    </xf>
    <xf numFmtId="4" fontId="2" fillId="0" borderId="29" xfId="42" applyNumberFormat="1" applyFont="1" applyBorder="1" applyAlignment="1">
      <alignment vertical="top"/>
      <protection/>
    </xf>
    <xf numFmtId="180" fontId="2" fillId="35" borderId="17" xfId="42" applyNumberFormat="1" applyFont="1" applyFill="1" applyBorder="1" applyAlignment="1">
      <alignment horizontal="left" vertical="top"/>
      <protection/>
    </xf>
    <xf numFmtId="4" fontId="2" fillId="34" borderId="16" xfId="42" applyNumberFormat="1" applyFont="1" applyFill="1" applyBorder="1" applyAlignment="1">
      <alignment vertical="top"/>
      <protection/>
    </xf>
    <xf numFmtId="10" fontId="5" fillId="34" borderId="29" xfId="42" applyNumberFormat="1" applyFont="1" applyFill="1" applyBorder="1" applyAlignment="1">
      <alignment vertical="top"/>
      <protection/>
    </xf>
    <xf numFmtId="172" fontId="2" fillId="0" borderId="38" xfId="42" applyNumberFormat="1" applyFont="1" applyBorder="1" applyAlignment="1" quotePrefix="1">
      <alignment horizontal="left" vertical="top"/>
      <protection/>
    </xf>
    <xf numFmtId="180" fontId="2" fillId="34" borderId="24" xfId="42" applyNumberFormat="1" applyFont="1" applyFill="1" applyBorder="1" applyAlignment="1">
      <alignment horizontal="left" vertical="top"/>
      <protection/>
    </xf>
    <xf numFmtId="0" fontId="2" fillId="34" borderId="24" xfId="42" applyFont="1" applyFill="1" applyBorder="1" applyAlignment="1">
      <alignment horizontal="left" vertical="top" wrapText="1"/>
      <protection/>
    </xf>
    <xf numFmtId="10" fontId="5" fillId="34" borderId="24" xfId="42" applyNumberFormat="1" applyFont="1" applyFill="1" applyBorder="1" applyAlignment="1">
      <alignment vertical="top"/>
      <protection/>
    </xf>
    <xf numFmtId="0" fontId="0" fillId="34" borderId="25" xfId="42" applyFont="1" applyFill="1" applyBorder="1">
      <alignment/>
      <protection/>
    </xf>
    <xf numFmtId="0" fontId="0" fillId="35" borderId="30" xfId="42" applyFont="1" applyFill="1" applyBorder="1">
      <alignment/>
      <protection/>
    </xf>
    <xf numFmtId="0" fontId="0" fillId="34" borderId="22" xfId="42" applyFont="1" applyFill="1" applyBorder="1">
      <alignment/>
      <protection/>
    </xf>
    <xf numFmtId="177" fontId="8" fillId="34" borderId="46" xfId="42" applyNumberFormat="1" applyFont="1" applyFill="1" applyBorder="1" applyAlignment="1">
      <alignment horizontal="left" vertical="top"/>
      <protection/>
    </xf>
    <xf numFmtId="0" fontId="2" fillId="35" borderId="17" xfId="42" applyFont="1" applyFill="1" applyBorder="1" applyAlignment="1">
      <alignment horizontal="left" vertical="top" wrapText="1"/>
      <protection/>
    </xf>
    <xf numFmtId="10" fontId="5" fillId="35" borderId="17" xfId="42" applyNumberFormat="1" applyFont="1" applyFill="1" applyBorder="1" applyAlignment="1">
      <alignment horizontal="right" vertical="top"/>
      <protection/>
    </xf>
    <xf numFmtId="180" fontId="2" fillId="34" borderId="47" xfId="42" applyNumberFormat="1" applyFont="1" applyFill="1" applyBorder="1" applyAlignment="1">
      <alignment horizontal="left" vertical="top"/>
      <protection/>
    </xf>
    <xf numFmtId="3" fontId="2" fillId="0" borderId="44" xfId="42" applyNumberFormat="1" applyFont="1" applyBorder="1" applyAlignment="1">
      <alignment vertical="top"/>
      <protection/>
    </xf>
    <xf numFmtId="3" fontId="2" fillId="34" borderId="41" xfId="42" applyNumberFormat="1" applyFont="1" applyFill="1" applyBorder="1" applyAlignment="1">
      <alignment vertical="top"/>
      <protection/>
    </xf>
    <xf numFmtId="10" fontId="5" fillId="33" borderId="17" xfId="42" applyNumberFormat="1" applyFont="1" applyFill="1" applyBorder="1" applyAlignment="1">
      <alignment horizontal="right" vertical="top"/>
      <protection/>
    </xf>
    <xf numFmtId="10" fontId="5" fillId="34" borderId="17" xfId="42" applyNumberFormat="1" applyFont="1" applyFill="1" applyBorder="1" applyAlignment="1">
      <alignment horizontal="right" vertical="top"/>
      <protection/>
    </xf>
    <xf numFmtId="10" fontId="5" fillId="35" borderId="29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 applyAlignment="1">
      <alignment horizontal="center" vertical="center"/>
      <protection/>
    </xf>
    <xf numFmtId="10" fontId="5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10" fontId="3" fillId="0" borderId="48" xfId="42" applyNumberFormat="1" applyFont="1" applyFill="1" applyBorder="1" applyAlignment="1">
      <alignment vertical="top"/>
      <protection/>
    </xf>
    <xf numFmtId="0" fontId="0" fillId="0" borderId="48" xfId="42" applyFont="1" applyFill="1" applyBorder="1">
      <alignment/>
      <protection/>
    </xf>
    <xf numFmtId="0" fontId="0" fillId="0" borderId="0" xfId="42" applyFont="1" applyFill="1" applyBorder="1" applyAlignment="1">
      <alignment horizontal="left" wrapText="1"/>
      <protection/>
    </xf>
    <xf numFmtId="0" fontId="6" fillId="0" borderId="0" xfId="42" applyFont="1" applyFill="1" applyBorder="1" applyAlignment="1">
      <alignment horizontal="center"/>
      <protection/>
    </xf>
    <xf numFmtId="0" fontId="12" fillId="34" borderId="17" xfId="42" applyFont="1" applyFill="1" applyBorder="1" applyAlignment="1">
      <alignment horizontal="left"/>
      <protection/>
    </xf>
    <xf numFmtId="0" fontId="18" fillId="33" borderId="17" xfId="42" applyFont="1" applyFill="1" applyBorder="1">
      <alignment/>
      <protection/>
    </xf>
    <xf numFmtId="180" fontId="3" fillId="33" borderId="17" xfId="42" applyNumberFormat="1" applyFont="1" applyFill="1" applyBorder="1" applyAlignment="1">
      <alignment horizontal="left" vertical="top"/>
      <protection/>
    </xf>
    <xf numFmtId="0" fontId="19" fillId="33" borderId="22" xfId="42" applyFont="1" applyFill="1" applyBorder="1">
      <alignment/>
      <protection/>
    </xf>
    <xf numFmtId="177" fontId="3" fillId="33" borderId="41" xfId="42" applyNumberFormat="1" applyFont="1" applyFill="1" applyBorder="1" applyAlignment="1">
      <alignment horizontal="left" vertical="top"/>
      <protection/>
    </xf>
    <xf numFmtId="0" fontId="3" fillId="33" borderId="0" xfId="42" applyFont="1" applyFill="1" applyBorder="1" applyAlignment="1">
      <alignment horizontal="left" vertical="top" wrapText="1"/>
      <protection/>
    </xf>
    <xf numFmtId="3" fontId="3" fillId="33" borderId="0" xfId="42" applyNumberFormat="1" applyFont="1" applyFill="1" applyBorder="1" applyAlignment="1">
      <alignment vertical="top"/>
      <protection/>
    </xf>
    <xf numFmtId="3" fontId="3" fillId="33" borderId="17" xfId="42" applyNumberFormat="1" applyFont="1" applyFill="1" applyBorder="1" applyAlignment="1">
      <alignment vertical="top"/>
      <protection/>
    </xf>
    <xf numFmtId="4" fontId="3" fillId="33" borderId="0" xfId="42" applyNumberFormat="1" applyFont="1" applyFill="1" applyBorder="1" applyAlignment="1">
      <alignment vertical="top"/>
      <protection/>
    </xf>
    <xf numFmtId="0" fontId="1" fillId="0" borderId="49" xfId="42" applyFont="1" applyBorder="1" applyAlignment="1">
      <alignment horizontal="center" vertical="center"/>
      <protection/>
    </xf>
    <xf numFmtId="0" fontId="1" fillId="0" borderId="50" xfId="42" applyFont="1" applyBorder="1" applyAlignment="1">
      <alignment horizontal="center" vertical="center"/>
      <protection/>
    </xf>
    <xf numFmtId="0" fontId="1" fillId="0" borderId="51" xfId="42" applyFont="1" applyBorder="1" applyAlignment="1">
      <alignment horizontal="center" vertical="center"/>
      <protection/>
    </xf>
    <xf numFmtId="0" fontId="1" fillId="0" borderId="50" xfId="42" applyFont="1" applyBorder="1" applyAlignment="1">
      <alignment horizontal="center" vertical="center" wrapText="1"/>
      <protection/>
    </xf>
    <xf numFmtId="0" fontId="1" fillId="0" borderId="52" xfId="42" applyFont="1" applyBorder="1" applyAlignment="1">
      <alignment horizontal="center" vertical="center"/>
      <protection/>
    </xf>
    <xf numFmtId="172" fontId="3" fillId="33" borderId="53" xfId="42" applyNumberFormat="1" applyFont="1" applyFill="1" applyBorder="1" applyAlignment="1">
      <alignment horizontal="left" vertical="top"/>
      <protection/>
    </xf>
    <xf numFmtId="177" fontId="3" fillId="33" borderId="54" xfId="42" applyNumberFormat="1" applyFont="1" applyFill="1" applyBorder="1" applyAlignment="1">
      <alignment horizontal="left" vertical="top"/>
      <protection/>
    </xf>
    <xf numFmtId="177" fontId="3" fillId="33" borderId="35" xfId="42" applyNumberFormat="1" applyFont="1" applyFill="1" applyBorder="1" applyAlignment="1">
      <alignment horizontal="left" vertical="top"/>
      <protection/>
    </xf>
    <xf numFmtId="0" fontId="0" fillId="0" borderId="55" xfId="42" applyFont="1" applyBorder="1">
      <alignment/>
      <protection/>
    </xf>
    <xf numFmtId="10" fontId="5" fillId="0" borderId="0" xfId="42" applyNumberFormat="1" applyFont="1" applyFill="1" applyBorder="1" applyAlignment="1">
      <alignment horizontal="right" vertical="top"/>
      <protection/>
    </xf>
    <xf numFmtId="3" fontId="2" fillId="0" borderId="56" xfId="42" applyNumberFormat="1" applyFont="1" applyBorder="1" applyAlignment="1">
      <alignment vertical="top"/>
      <protection/>
    </xf>
    <xf numFmtId="0" fontId="0" fillId="0" borderId="57" xfId="42" applyFont="1" applyBorder="1">
      <alignment/>
      <protection/>
    </xf>
    <xf numFmtId="177" fontId="2" fillId="0" borderId="57" xfId="42" applyNumberFormat="1" applyFont="1" applyBorder="1" applyAlignment="1">
      <alignment horizontal="left" vertical="top"/>
      <protection/>
    </xf>
    <xf numFmtId="0" fontId="2" fillId="0" borderId="58" xfId="42" applyFont="1" applyBorder="1" applyAlignment="1">
      <alignment horizontal="left" vertical="top" wrapText="1"/>
      <protection/>
    </xf>
    <xf numFmtId="3" fontId="2" fillId="0" borderId="59" xfId="42" applyNumberFormat="1" applyFont="1" applyBorder="1" applyAlignment="1">
      <alignment vertical="top"/>
      <protection/>
    </xf>
    <xf numFmtId="3" fontId="2" fillId="0" borderId="57" xfId="42" applyNumberFormat="1" applyFont="1" applyBorder="1" applyAlignment="1">
      <alignment vertical="top"/>
      <protection/>
    </xf>
    <xf numFmtId="177" fontId="3" fillId="0" borderId="35" xfId="42" applyNumberFormat="1" applyFont="1" applyFill="1" applyBorder="1" applyAlignment="1">
      <alignment horizontal="left" vertical="top"/>
      <protection/>
    </xf>
    <xf numFmtId="0" fontId="2" fillId="0" borderId="18" xfId="42" applyFont="1" applyFill="1" applyBorder="1" applyAlignment="1">
      <alignment horizontal="left" vertical="top" wrapText="1"/>
      <protection/>
    </xf>
    <xf numFmtId="180" fontId="2" fillId="34" borderId="39" xfId="42" applyNumberFormat="1" applyFont="1" applyFill="1" applyBorder="1" applyAlignment="1">
      <alignment horizontal="left" vertical="top"/>
      <protection/>
    </xf>
    <xf numFmtId="0" fontId="0" fillId="34" borderId="59" xfId="42" applyFont="1" applyFill="1" applyBorder="1">
      <alignment/>
      <protection/>
    </xf>
    <xf numFmtId="0" fontId="0" fillId="34" borderId="57" xfId="42" applyFont="1" applyFill="1" applyBorder="1">
      <alignment/>
      <protection/>
    </xf>
    <xf numFmtId="0" fontId="2" fillId="34" borderId="58" xfId="42" applyFont="1" applyFill="1" applyBorder="1" applyAlignment="1">
      <alignment horizontal="left" vertical="top" wrapText="1"/>
      <protection/>
    </xf>
    <xf numFmtId="3" fontId="2" fillId="34" borderId="59" xfId="42" applyNumberFormat="1" applyFont="1" applyFill="1" applyBorder="1" applyAlignment="1">
      <alignment vertical="top" wrapText="1"/>
      <protection/>
    </xf>
    <xf numFmtId="4" fontId="2" fillId="34" borderId="51" xfId="42" applyNumberFormat="1" applyFont="1" applyFill="1" applyBorder="1" applyAlignment="1">
      <alignment vertical="top" wrapText="1"/>
      <protection/>
    </xf>
    <xf numFmtId="177" fontId="3" fillId="33" borderId="60" xfId="42" applyNumberFormat="1" applyFont="1" applyFill="1" applyBorder="1" applyAlignment="1">
      <alignment horizontal="left" vertical="top"/>
      <protection/>
    </xf>
    <xf numFmtId="0" fontId="0" fillId="35" borderId="35" xfId="42" applyFont="1" applyFill="1" applyBorder="1">
      <alignment/>
      <protection/>
    </xf>
    <xf numFmtId="0" fontId="0" fillId="0" borderId="59" xfId="42" applyFont="1" applyBorder="1">
      <alignment/>
      <protection/>
    </xf>
    <xf numFmtId="3" fontId="2" fillId="0" borderId="58" xfId="42" applyNumberFormat="1" applyFont="1" applyBorder="1" applyAlignment="1">
      <alignment vertical="top"/>
      <protection/>
    </xf>
    <xf numFmtId="0" fontId="0" fillId="0" borderId="0" xfId="42" applyFont="1" applyBorder="1" applyAlignment="1">
      <alignment horizontal="center" vertical="center" textRotation="180"/>
      <protection/>
    </xf>
    <xf numFmtId="172" fontId="2" fillId="0" borderId="0" xfId="42" applyNumberFormat="1" applyFont="1" applyBorder="1" applyAlignment="1" quotePrefix="1">
      <alignment horizontal="left" vertical="top"/>
      <protection/>
    </xf>
    <xf numFmtId="0" fontId="2" fillId="0" borderId="31" xfId="42" applyFont="1" applyFill="1" applyBorder="1" applyAlignment="1">
      <alignment horizontal="left" vertical="top" wrapText="1"/>
      <protection/>
    </xf>
    <xf numFmtId="3" fontId="2" fillId="0" borderId="11" xfId="42" applyNumberFormat="1" applyFont="1" applyBorder="1" applyAlignment="1">
      <alignment vertical="top"/>
      <protection/>
    </xf>
    <xf numFmtId="4" fontId="2" fillId="0" borderId="40" xfId="42" applyNumberFormat="1" applyFont="1" applyBorder="1" applyAlignment="1">
      <alignment vertical="top"/>
      <protection/>
    </xf>
    <xf numFmtId="4" fontId="2" fillId="0" borderId="61" xfId="42" applyNumberFormat="1" applyFont="1" applyBorder="1" applyAlignment="1">
      <alignment vertical="top"/>
      <protection/>
    </xf>
    <xf numFmtId="180" fontId="2" fillId="34" borderId="29" xfId="42" applyNumberFormat="1" applyFont="1" applyFill="1" applyBorder="1" applyAlignment="1">
      <alignment horizontal="left" vertical="top"/>
      <protection/>
    </xf>
    <xf numFmtId="0" fontId="0" fillId="0" borderId="43" xfId="42" applyFont="1" applyBorder="1">
      <alignment/>
      <protection/>
    </xf>
    <xf numFmtId="3" fontId="18" fillId="33" borderId="10" xfId="42" applyNumberFormat="1" applyFont="1" applyFill="1" applyBorder="1" applyAlignment="1">
      <alignment vertical="top" wrapText="1"/>
      <protection/>
    </xf>
    <xf numFmtId="4" fontId="18" fillId="33" borderId="10" xfId="42" applyNumberFormat="1" applyFont="1" applyFill="1" applyBorder="1" applyAlignment="1">
      <alignment vertical="top" wrapText="1"/>
      <protection/>
    </xf>
    <xf numFmtId="0" fontId="0" fillId="0" borderId="0" xfId="42" applyFont="1" applyBorder="1" applyAlignment="1">
      <alignment vertical="center" textRotation="180"/>
      <protection/>
    </xf>
    <xf numFmtId="0" fontId="2" fillId="0" borderId="51" xfId="42" applyFont="1" applyBorder="1" applyAlignment="1">
      <alignment horizontal="left" vertical="top" wrapText="1"/>
      <protection/>
    </xf>
    <xf numFmtId="3" fontId="2" fillId="0" borderId="42" xfId="42" applyNumberFormat="1" applyFont="1" applyBorder="1" applyAlignment="1">
      <alignment vertical="top"/>
      <protection/>
    </xf>
    <xf numFmtId="0" fontId="0" fillId="0" borderId="50" xfId="42" applyFont="1" applyBorder="1">
      <alignment/>
      <protection/>
    </xf>
    <xf numFmtId="172" fontId="2" fillId="0" borderId="62" xfId="42" applyNumberFormat="1" applyFont="1" applyBorder="1" applyAlignment="1" quotePrefix="1">
      <alignment horizontal="left" vertical="top"/>
      <protection/>
    </xf>
    <xf numFmtId="3" fontId="2" fillId="0" borderId="51" xfId="42" applyNumberFormat="1" applyFont="1" applyBorder="1" applyAlignment="1">
      <alignment vertical="top"/>
      <protection/>
    </xf>
    <xf numFmtId="3" fontId="2" fillId="0" borderId="63" xfId="42" applyNumberFormat="1" applyFont="1" applyBorder="1" applyAlignment="1">
      <alignment vertical="top"/>
      <protection/>
    </xf>
    <xf numFmtId="4" fontId="0" fillId="0" borderId="17" xfId="42" applyNumberFormat="1" applyFont="1" applyFill="1" applyBorder="1">
      <alignment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4" fontId="9" fillId="0" borderId="17" xfId="42" applyNumberFormat="1" applyFont="1" applyFill="1" applyBorder="1" applyAlignment="1">
      <alignment vertical="top"/>
      <protection/>
    </xf>
    <xf numFmtId="4" fontId="7" fillId="0" borderId="17" xfId="42" applyNumberFormat="1" applyFont="1" applyFill="1" applyBorder="1" applyAlignment="1">
      <alignment vertical="top"/>
      <protection/>
    </xf>
    <xf numFmtId="4" fontId="13" fillId="0" borderId="17" xfId="42" applyNumberFormat="1" applyFont="1" applyFill="1" applyBorder="1" applyAlignment="1">
      <alignment vertical="top"/>
      <protection/>
    </xf>
    <xf numFmtId="4" fontId="0" fillId="0" borderId="17" xfId="42" applyNumberFormat="1" applyFont="1" applyFill="1" applyBorder="1">
      <alignment/>
      <protection/>
    </xf>
    <xf numFmtId="4" fontId="7" fillId="0" borderId="48" xfId="42" applyNumberFormat="1" applyFont="1" applyFill="1" applyBorder="1" applyAlignment="1">
      <alignment/>
      <protection/>
    </xf>
    <xf numFmtId="3" fontId="2" fillId="0" borderId="37" xfId="42" applyNumberFormat="1" applyFont="1" applyBorder="1" applyAlignment="1">
      <alignment vertical="top"/>
      <protection/>
    </xf>
    <xf numFmtId="10" fontId="5" fillId="35" borderId="24" xfId="42" applyNumberFormat="1" applyFont="1" applyFill="1" applyBorder="1" applyAlignment="1">
      <alignment vertical="top"/>
      <protection/>
    </xf>
    <xf numFmtId="4" fontId="2" fillId="0" borderId="38" xfId="42" applyNumberFormat="1" applyFont="1" applyBorder="1" applyAlignment="1">
      <alignment vertical="top"/>
      <protection/>
    </xf>
    <xf numFmtId="0" fontId="0" fillId="34" borderId="38" xfId="42" applyFont="1" applyFill="1" applyBorder="1">
      <alignment/>
      <protection/>
    </xf>
    <xf numFmtId="0" fontId="2" fillId="34" borderId="39" xfId="42" applyFont="1" applyFill="1" applyBorder="1" applyAlignment="1">
      <alignment horizontal="left" vertical="top" wrapText="1"/>
      <protection/>
    </xf>
    <xf numFmtId="3" fontId="2" fillId="34" borderId="39" xfId="42" applyNumberFormat="1" applyFont="1" applyFill="1" applyBorder="1" applyAlignment="1">
      <alignment vertical="top"/>
      <protection/>
    </xf>
    <xf numFmtId="4" fontId="2" fillId="34" borderId="40" xfId="42" applyNumberFormat="1" applyFont="1" applyFill="1" applyBorder="1" applyAlignment="1">
      <alignment vertical="top"/>
      <protection/>
    </xf>
    <xf numFmtId="177" fontId="3" fillId="33" borderId="64" xfId="42" applyNumberFormat="1" applyFont="1" applyFill="1" applyBorder="1" applyAlignment="1">
      <alignment horizontal="left" vertical="top"/>
      <protection/>
    </xf>
    <xf numFmtId="0" fontId="0" fillId="33" borderId="59" xfId="42" applyFont="1" applyFill="1" applyBorder="1">
      <alignment/>
      <protection/>
    </xf>
    <xf numFmtId="0" fontId="0" fillId="33" borderId="57" xfId="42" applyFont="1" applyFill="1" applyBorder="1">
      <alignment/>
      <protection/>
    </xf>
    <xf numFmtId="0" fontId="3" fillId="33" borderId="58" xfId="42" applyFont="1" applyFill="1" applyBorder="1" applyAlignment="1">
      <alignment horizontal="left" vertical="top" wrapText="1"/>
      <protection/>
    </xf>
    <xf numFmtId="3" fontId="3" fillId="33" borderId="58" xfId="42" applyNumberFormat="1" applyFont="1" applyFill="1" applyBorder="1" applyAlignment="1">
      <alignment vertical="top" wrapText="1"/>
      <protection/>
    </xf>
    <xf numFmtId="4" fontId="3" fillId="33" borderId="58" xfId="42" applyNumberFormat="1" applyFont="1" applyFill="1" applyBorder="1" applyAlignment="1">
      <alignment vertical="top" wrapText="1"/>
      <protection/>
    </xf>
    <xf numFmtId="177" fontId="3" fillId="33" borderId="65" xfId="42" applyNumberFormat="1" applyFont="1" applyFill="1" applyBorder="1" applyAlignment="1">
      <alignment horizontal="left" vertical="top"/>
      <protection/>
    </xf>
    <xf numFmtId="0" fontId="0" fillId="33" borderId="50" xfId="42" applyFont="1" applyFill="1" applyBorder="1">
      <alignment/>
      <protection/>
    </xf>
    <xf numFmtId="0" fontId="0" fillId="33" borderId="62" xfId="42" applyFont="1" applyFill="1" applyBorder="1">
      <alignment/>
      <protection/>
    </xf>
    <xf numFmtId="0" fontId="3" fillId="33" borderId="51" xfId="42" applyFont="1" applyFill="1" applyBorder="1" applyAlignment="1">
      <alignment horizontal="left" vertical="top"/>
      <protection/>
    </xf>
    <xf numFmtId="3" fontId="3" fillId="33" borderId="51" xfId="42" applyNumberFormat="1" applyFont="1" applyFill="1" applyBorder="1" applyAlignment="1">
      <alignment vertical="top"/>
      <protection/>
    </xf>
    <xf numFmtId="4" fontId="3" fillId="33" borderId="51" xfId="42" applyNumberFormat="1" applyFont="1" applyFill="1" applyBorder="1" applyAlignment="1">
      <alignment vertical="top"/>
      <protection/>
    </xf>
    <xf numFmtId="0" fontId="0" fillId="34" borderId="62" xfId="42" applyFont="1" applyFill="1" applyBorder="1">
      <alignment/>
      <protection/>
    </xf>
    <xf numFmtId="0" fontId="2" fillId="34" borderId="51" xfId="42" applyFont="1" applyFill="1" applyBorder="1" applyAlignment="1">
      <alignment horizontal="left" vertical="top" wrapText="1"/>
      <protection/>
    </xf>
    <xf numFmtId="3" fontId="2" fillId="34" borderId="51" xfId="42" applyNumberFormat="1" applyFont="1" applyFill="1" applyBorder="1" applyAlignment="1">
      <alignment vertical="top"/>
      <protection/>
    </xf>
    <xf numFmtId="4" fontId="2" fillId="34" borderId="51" xfId="42" applyNumberFormat="1" applyFont="1" applyFill="1" applyBorder="1" applyAlignment="1">
      <alignment vertical="top"/>
      <protection/>
    </xf>
    <xf numFmtId="0" fontId="0" fillId="34" borderId="50" xfId="42" applyFont="1" applyFill="1" applyBorder="1">
      <alignment/>
      <protection/>
    </xf>
    <xf numFmtId="3" fontId="2" fillId="34" borderId="51" xfId="42" applyNumberFormat="1" applyFont="1" applyFill="1" applyBorder="1" applyAlignment="1">
      <alignment vertical="top" wrapText="1"/>
      <protection/>
    </xf>
    <xf numFmtId="4" fontId="2" fillId="0" borderId="44" xfId="42" applyNumberFormat="1" applyFont="1" applyBorder="1" applyAlignment="1">
      <alignment vertical="top"/>
      <protection/>
    </xf>
    <xf numFmtId="0" fontId="0" fillId="0" borderId="31" xfId="42" applyFont="1" applyBorder="1">
      <alignment/>
      <protection/>
    </xf>
    <xf numFmtId="177" fontId="3" fillId="0" borderId="66" xfId="42" applyNumberFormat="1" applyFont="1" applyFill="1" applyBorder="1" applyAlignment="1">
      <alignment horizontal="left" vertical="top"/>
      <protection/>
    </xf>
    <xf numFmtId="0" fontId="0" fillId="0" borderId="45" xfId="42" applyFont="1" applyBorder="1">
      <alignment/>
      <protection/>
    </xf>
    <xf numFmtId="4" fontId="0" fillId="0" borderId="0" xfId="42" applyNumberFormat="1" applyFont="1">
      <alignment/>
      <protection/>
    </xf>
    <xf numFmtId="0" fontId="0" fillId="0" borderId="18" xfId="42" applyFont="1" applyBorder="1">
      <alignment/>
      <protection/>
    </xf>
    <xf numFmtId="3" fontId="2" fillId="0" borderId="1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center" textRotation="180"/>
      <protection/>
    </xf>
    <xf numFmtId="0" fontId="0" fillId="0" borderId="19" xfId="42" applyFont="1" applyBorder="1">
      <alignment/>
      <protection/>
    </xf>
    <xf numFmtId="0" fontId="2" fillId="0" borderId="20" xfId="42" applyFont="1" applyBorder="1" applyAlignment="1">
      <alignment horizontal="left" vertical="top" wrapText="1"/>
      <protection/>
    </xf>
    <xf numFmtId="3" fontId="2" fillId="0" borderId="20" xfId="42" applyNumberFormat="1" applyFont="1" applyBorder="1" applyAlignment="1">
      <alignment vertical="top"/>
      <protection/>
    </xf>
    <xf numFmtId="0" fontId="0" fillId="0" borderId="56" xfId="42" applyFont="1" applyBorder="1">
      <alignment/>
      <protection/>
    </xf>
    <xf numFmtId="3" fontId="2" fillId="0" borderId="0" xfId="42" applyNumberFormat="1" applyFont="1" applyBorder="1" applyAlignment="1">
      <alignment vertical="top"/>
      <protection/>
    </xf>
    <xf numFmtId="4" fontId="2" fillId="0" borderId="43" xfId="42" applyNumberFormat="1" applyFont="1" applyBorder="1" applyAlignment="1">
      <alignment vertical="top"/>
      <protection/>
    </xf>
    <xf numFmtId="3" fontId="2" fillId="0" borderId="67" xfId="42" applyNumberFormat="1" applyFont="1" applyBorder="1" applyAlignment="1">
      <alignment vertical="top"/>
      <protection/>
    </xf>
    <xf numFmtId="0" fontId="0" fillId="0" borderId="68" xfId="42" applyFont="1" applyBorder="1">
      <alignment/>
      <protection/>
    </xf>
    <xf numFmtId="0" fontId="3" fillId="0" borderId="69" xfId="42" applyFont="1" applyBorder="1" applyAlignment="1">
      <alignment horizontal="right" vertical="top" wrapText="1"/>
      <protection/>
    </xf>
    <xf numFmtId="3" fontId="3" fillId="0" borderId="69" xfId="42" applyNumberFormat="1" applyFont="1" applyBorder="1" applyAlignment="1">
      <alignment vertical="top" wrapText="1"/>
      <protection/>
    </xf>
    <xf numFmtId="4" fontId="3" fillId="0" borderId="69" xfId="42" applyNumberFormat="1" applyFont="1" applyBorder="1" applyAlignment="1">
      <alignment vertical="top" wrapText="1"/>
      <protection/>
    </xf>
    <xf numFmtId="10" fontId="5" fillId="35" borderId="69" xfId="42" applyNumberFormat="1" applyFont="1" applyFill="1" applyBorder="1" applyAlignment="1">
      <alignment vertical="top"/>
      <protection/>
    </xf>
    <xf numFmtId="0" fontId="0" fillId="0" borderId="69" xfId="42" applyFont="1" applyBorder="1">
      <alignment/>
      <protection/>
    </xf>
    <xf numFmtId="0" fontId="0" fillId="0" borderId="66" xfId="42" applyFont="1" applyBorder="1">
      <alignment/>
      <protection/>
    </xf>
    <xf numFmtId="180" fontId="2" fillId="34" borderId="21" xfId="42" applyNumberFormat="1" applyFont="1" applyFill="1" applyBorder="1" applyAlignment="1">
      <alignment horizontal="left" vertical="top"/>
      <protection/>
    </xf>
    <xf numFmtId="0" fontId="0" fillId="34" borderId="23" xfId="42" applyFont="1" applyFill="1" applyBorder="1">
      <alignment/>
      <protection/>
    </xf>
    <xf numFmtId="0" fontId="0" fillId="34" borderId="21" xfId="42" applyFont="1" applyFill="1" applyBorder="1">
      <alignment/>
      <protection/>
    </xf>
    <xf numFmtId="0" fontId="2" fillId="34" borderId="18" xfId="42" applyFont="1" applyFill="1" applyBorder="1" applyAlignment="1">
      <alignment horizontal="left" vertical="top" wrapText="1"/>
      <protection/>
    </xf>
    <xf numFmtId="3" fontId="2" fillId="34" borderId="18" xfId="42" applyNumberFormat="1" applyFont="1" applyFill="1" applyBorder="1" applyAlignment="1">
      <alignment vertical="top" wrapText="1"/>
      <protection/>
    </xf>
    <xf numFmtId="4" fontId="2" fillId="34" borderId="18" xfId="42" applyNumberFormat="1" applyFont="1" applyFill="1" applyBorder="1" applyAlignment="1">
      <alignment vertical="top" wrapText="1"/>
      <protection/>
    </xf>
    <xf numFmtId="180" fontId="2" fillId="0" borderId="28" xfId="42" applyNumberFormat="1" applyFont="1" applyFill="1" applyBorder="1" applyAlignment="1">
      <alignment horizontal="left" vertical="top"/>
      <protection/>
    </xf>
    <xf numFmtId="0" fontId="0" fillId="0" borderId="23" xfId="42" applyFont="1" applyFill="1" applyBorder="1">
      <alignment/>
      <protection/>
    </xf>
    <xf numFmtId="172" fontId="2" fillId="0" borderId="21" xfId="42" applyNumberFormat="1" applyFont="1" applyFill="1" applyBorder="1" applyAlignment="1" quotePrefix="1">
      <alignment horizontal="left" vertical="top"/>
      <protection/>
    </xf>
    <xf numFmtId="0" fontId="2" fillId="0" borderId="18" xfId="42" applyFont="1" applyFill="1" applyBorder="1" applyAlignment="1">
      <alignment horizontal="left" vertical="top" wrapText="1"/>
      <protection/>
    </xf>
    <xf numFmtId="3" fontId="2" fillId="0" borderId="18" xfId="42" applyNumberFormat="1" applyFont="1" applyFill="1" applyBorder="1" applyAlignment="1">
      <alignment vertical="top" wrapText="1"/>
      <protection/>
    </xf>
    <xf numFmtId="180" fontId="2" fillId="34" borderId="70" xfId="42" applyNumberFormat="1" applyFont="1" applyFill="1" applyBorder="1" applyAlignment="1">
      <alignment horizontal="left" vertical="top"/>
      <protection/>
    </xf>
    <xf numFmtId="0" fontId="2" fillId="0" borderId="31" xfId="42" applyFont="1" applyBorder="1" applyAlignment="1">
      <alignment horizontal="left" vertical="top" wrapText="1"/>
      <protection/>
    </xf>
    <xf numFmtId="3" fontId="2" fillId="0" borderId="31" xfId="42" applyNumberFormat="1" applyFont="1" applyBorder="1" applyAlignment="1">
      <alignment vertical="top"/>
      <protection/>
    </xf>
    <xf numFmtId="3" fontId="2" fillId="0" borderId="11" xfId="42" applyNumberFormat="1" applyFont="1" applyBorder="1" applyAlignment="1">
      <alignment vertical="top"/>
      <protection/>
    </xf>
    <xf numFmtId="0" fontId="2" fillId="0" borderId="31" xfId="42" applyFont="1" applyFill="1" applyBorder="1" applyAlignment="1">
      <alignment horizontal="left" vertical="top" wrapText="1"/>
      <protection/>
    </xf>
    <xf numFmtId="3" fontId="2" fillId="0" borderId="31" xfId="42" applyNumberFormat="1" applyFont="1" applyFill="1" applyBorder="1" applyAlignment="1">
      <alignment vertical="top" wrapText="1"/>
      <protection/>
    </xf>
    <xf numFmtId="3" fontId="2" fillId="35" borderId="59" xfId="42" applyNumberFormat="1" applyFont="1" applyFill="1" applyBorder="1" applyAlignment="1">
      <alignment vertical="top"/>
      <protection/>
    </xf>
    <xf numFmtId="0" fontId="0" fillId="34" borderId="28" xfId="42" applyFont="1" applyFill="1" applyBorder="1">
      <alignment/>
      <protection/>
    </xf>
    <xf numFmtId="177" fontId="2" fillId="34" borderId="28" xfId="42" applyNumberFormat="1" applyFont="1" applyFill="1" applyBorder="1" applyAlignment="1">
      <alignment horizontal="left" vertical="top"/>
      <protection/>
    </xf>
    <xf numFmtId="0" fontId="2" fillId="34" borderId="26" xfId="42" applyFont="1" applyFill="1" applyBorder="1" applyAlignment="1">
      <alignment horizontal="left" vertical="top" wrapText="1"/>
      <protection/>
    </xf>
    <xf numFmtId="3" fontId="2" fillId="34" borderId="37" xfId="42" applyNumberFormat="1" applyFont="1" applyFill="1" applyBorder="1" applyAlignment="1">
      <alignment vertical="top"/>
      <protection/>
    </xf>
    <xf numFmtId="4" fontId="2" fillId="34" borderId="28" xfId="42" applyNumberFormat="1" applyFont="1" applyFill="1" applyBorder="1" applyAlignment="1">
      <alignment vertical="top"/>
      <protection/>
    </xf>
    <xf numFmtId="180" fontId="2" fillId="34" borderId="62" xfId="42" applyNumberFormat="1" applyFont="1" applyFill="1" applyBorder="1" applyAlignment="1">
      <alignment horizontal="left" vertical="top"/>
      <protection/>
    </xf>
    <xf numFmtId="3" fontId="3" fillId="33" borderId="51" xfId="42" applyNumberFormat="1" applyFont="1" applyFill="1" applyBorder="1" applyAlignment="1">
      <alignment vertical="top" wrapText="1"/>
      <protection/>
    </xf>
    <xf numFmtId="4" fontId="3" fillId="33" borderId="51" xfId="42" applyNumberFormat="1" applyFont="1" applyFill="1" applyBorder="1" applyAlignment="1">
      <alignment vertical="top" wrapText="1"/>
      <protection/>
    </xf>
    <xf numFmtId="3" fontId="3" fillId="0" borderId="16" xfId="42" applyNumberFormat="1" applyFont="1" applyFill="1" applyBorder="1" applyAlignment="1">
      <alignment vertical="top"/>
      <protection/>
    </xf>
    <xf numFmtId="0" fontId="2" fillId="0" borderId="16" xfId="42" applyFont="1" applyFill="1" applyBorder="1" applyAlignment="1">
      <alignment horizontal="left" vertical="top" wrapText="1"/>
      <protection/>
    </xf>
    <xf numFmtId="3" fontId="2" fillId="0" borderId="16" xfId="42" applyNumberFormat="1" applyFont="1" applyFill="1" applyBorder="1" applyAlignment="1">
      <alignment vertical="top"/>
      <protection/>
    </xf>
    <xf numFmtId="4" fontId="2" fillId="0" borderId="16" xfId="42" applyNumberFormat="1" applyFont="1" applyFill="1" applyBorder="1" applyAlignment="1">
      <alignment vertical="top"/>
      <protection/>
    </xf>
    <xf numFmtId="0" fontId="0" fillId="0" borderId="54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4" fontId="2" fillId="0" borderId="13" xfId="42" applyNumberFormat="1" applyFont="1" applyFill="1" applyBorder="1" applyAlignment="1">
      <alignment vertical="top"/>
      <protection/>
    </xf>
    <xf numFmtId="0" fontId="2" fillId="0" borderId="16" xfId="42" applyFont="1" applyFill="1" applyBorder="1" applyAlignment="1">
      <alignment horizontal="left" vertical="top" wrapText="1"/>
      <protection/>
    </xf>
    <xf numFmtId="4" fontId="2" fillId="0" borderId="27" xfId="42" applyNumberFormat="1" applyFont="1" applyBorder="1" applyAlignment="1">
      <alignment vertical="top"/>
      <protection/>
    </xf>
    <xf numFmtId="4" fontId="2" fillId="0" borderId="10" xfId="42" applyNumberFormat="1" applyFont="1" applyBorder="1" applyAlignment="1">
      <alignment vertical="top"/>
      <protection/>
    </xf>
    <xf numFmtId="0" fontId="0" fillId="34" borderId="36" xfId="42" applyFont="1" applyFill="1" applyBorder="1">
      <alignment/>
      <protection/>
    </xf>
    <xf numFmtId="0" fontId="0" fillId="33" borderId="17" xfId="42" applyFont="1" applyFill="1" applyBorder="1">
      <alignment/>
      <protection/>
    </xf>
    <xf numFmtId="0" fontId="0" fillId="33" borderId="38" xfId="42" applyFont="1" applyFill="1" applyBorder="1">
      <alignment/>
      <protection/>
    </xf>
    <xf numFmtId="0" fontId="3" fillId="33" borderId="39" xfId="42" applyFont="1" applyFill="1" applyBorder="1" applyAlignment="1">
      <alignment horizontal="left" vertical="top" wrapText="1"/>
      <protection/>
    </xf>
    <xf numFmtId="4" fontId="2" fillId="0" borderId="57" xfId="42" applyNumberFormat="1" applyFont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172" fontId="2" fillId="0" borderId="0" xfId="42" applyNumberFormat="1" applyFont="1" applyFill="1" applyBorder="1" applyAlignment="1" quotePrefix="1">
      <alignment horizontal="left" vertical="top"/>
      <protection/>
    </xf>
    <xf numFmtId="0" fontId="12" fillId="0" borderId="17" xfId="42" applyFont="1" applyFill="1" applyBorder="1" applyAlignment="1">
      <alignment horizontal="left"/>
      <protection/>
    </xf>
    <xf numFmtId="0" fontId="0" fillId="0" borderId="28" xfId="42" applyFont="1" applyFill="1" applyBorder="1">
      <alignment/>
      <protection/>
    </xf>
    <xf numFmtId="177" fontId="2" fillId="0" borderId="28" xfId="42" applyNumberFormat="1" applyFont="1" applyFill="1" applyBorder="1" applyAlignment="1">
      <alignment horizontal="left" vertical="top"/>
      <protection/>
    </xf>
    <xf numFmtId="3" fontId="2" fillId="0" borderId="11" xfId="42" applyNumberFormat="1" applyFont="1" applyFill="1" applyBorder="1" applyAlignment="1">
      <alignment vertical="top"/>
      <protection/>
    </xf>
    <xf numFmtId="3" fontId="2" fillId="0" borderId="41" xfId="42" applyNumberFormat="1" applyFont="1" applyFill="1" applyBorder="1" applyAlignment="1">
      <alignment vertical="top"/>
      <protection/>
    </xf>
    <xf numFmtId="4" fontId="2" fillId="0" borderId="28" xfId="42" applyNumberFormat="1" applyFont="1" applyFill="1" applyBorder="1" applyAlignment="1">
      <alignment vertical="top"/>
      <protection/>
    </xf>
    <xf numFmtId="177" fontId="2" fillId="35" borderId="71" xfId="42" applyNumberFormat="1" applyFont="1" applyFill="1" applyBorder="1" applyAlignment="1">
      <alignment horizontal="left" vertical="top"/>
      <protection/>
    </xf>
    <xf numFmtId="0" fontId="0" fillId="35" borderId="28" xfId="42" applyFont="1" applyFill="1" applyBorder="1">
      <alignment/>
      <protection/>
    </xf>
    <xf numFmtId="3" fontId="2" fillId="35" borderId="37" xfId="42" applyNumberFormat="1" applyFont="1" applyFill="1" applyBorder="1" applyAlignment="1">
      <alignment vertical="top"/>
      <protection/>
    </xf>
    <xf numFmtId="4" fontId="2" fillId="35" borderId="36" xfId="42" applyNumberFormat="1" applyFont="1" applyFill="1" applyBorder="1" applyAlignment="1">
      <alignment vertical="top"/>
      <protection/>
    </xf>
    <xf numFmtId="3" fontId="2" fillId="35" borderId="41" xfId="42" applyNumberFormat="1" applyFont="1" applyFill="1" applyBorder="1" applyAlignment="1">
      <alignment vertical="top"/>
      <protection/>
    </xf>
    <xf numFmtId="3" fontId="2" fillId="0" borderId="11" xfId="42" applyNumberFormat="1" applyFont="1" applyFill="1" applyBorder="1" applyAlignment="1">
      <alignment vertical="top" wrapText="1"/>
      <protection/>
    </xf>
    <xf numFmtId="0" fontId="0" fillId="0" borderId="17" xfId="42" applyFont="1" applyBorder="1">
      <alignment/>
      <protection/>
    </xf>
    <xf numFmtId="177" fontId="3" fillId="0" borderId="29" xfId="42" applyNumberFormat="1" applyFont="1" applyFill="1" applyBorder="1" applyAlignment="1">
      <alignment horizontal="left" vertical="top"/>
      <protection/>
    </xf>
    <xf numFmtId="177" fontId="3" fillId="0" borderId="30" xfId="42" applyNumberFormat="1" applyFont="1" applyFill="1" applyBorder="1" applyAlignment="1">
      <alignment horizontal="left" vertical="top"/>
      <protection/>
    </xf>
    <xf numFmtId="177" fontId="3" fillId="33" borderId="25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23" xfId="42" applyFont="1" applyFill="1" applyBorder="1">
      <alignment/>
      <protection/>
    </xf>
    <xf numFmtId="0" fontId="0" fillId="33" borderId="21" xfId="42" applyFont="1" applyFill="1" applyBorder="1">
      <alignment/>
      <protection/>
    </xf>
    <xf numFmtId="0" fontId="3" fillId="33" borderId="18" xfId="42" applyFont="1" applyFill="1" applyBorder="1" applyAlignment="1">
      <alignment horizontal="left" vertical="top" wrapText="1"/>
      <protection/>
    </xf>
    <xf numFmtId="3" fontId="3" fillId="33" borderId="23" xfId="42" applyNumberFormat="1" applyFont="1" applyFill="1" applyBorder="1" applyAlignment="1">
      <alignment vertical="top"/>
      <protection/>
    </xf>
    <xf numFmtId="4" fontId="3" fillId="33" borderId="23" xfId="42" applyNumberFormat="1" applyFont="1" applyFill="1" applyBorder="1" applyAlignment="1">
      <alignment vertical="top"/>
      <protection/>
    </xf>
    <xf numFmtId="0" fontId="0" fillId="0" borderId="65" xfId="42" applyFont="1" applyBorder="1">
      <alignment/>
      <protection/>
    </xf>
    <xf numFmtId="180" fontId="2" fillId="34" borderId="50" xfId="42" applyNumberFormat="1" applyFont="1" applyFill="1" applyBorder="1" applyAlignment="1">
      <alignment horizontal="left" vertical="top"/>
      <protection/>
    </xf>
    <xf numFmtId="3" fontId="2" fillId="34" borderId="18" xfId="42" applyNumberFormat="1" applyFont="1" applyFill="1" applyBorder="1" applyAlignment="1">
      <alignment vertical="top"/>
      <protection/>
    </xf>
    <xf numFmtId="4" fontId="2" fillId="34" borderId="18" xfId="42" applyNumberFormat="1" applyFont="1" applyFill="1" applyBorder="1" applyAlignment="1">
      <alignment vertical="top"/>
      <protection/>
    </xf>
    <xf numFmtId="177" fontId="2" fillId="0" borderId="62" xfId="42" applyNumberFormat="1" applyFont="1" applyBorder="1" applyAlignment="1">
      <alignment horizontal="left" vertical="top"/>
      <protection/>
    </xf>
    <xf numFmtId="3" fontId="2" fillId="0" borderId="51" xfId="42" applyNumberFormat="1" applyFont="1" applyBorder="1" applyAlignment="1">
      <alignment vertical="top"/>
      <protection/>
    </xf>
    <xf numFmtId="3" fontId="2" fillId="0" borderId="63" xfId="42" applyNumberFormat="1" applyFont="1" applyBorder="1" applyAlignment="1">
      <alignment vertical="top"/>
      <protection/>
    </xf>
    <xf numFmtId="4" fontId="2" fillId="0" borderId="57" xfId="42" applyNumberFormat="1" applyFont="1" applyBorder="1" applyAlignment="1">
      <alignment vertical="top"/>
      <protection/>
    </xf>
    <xf numFmtId="172" fontId="2" fillId="0" borderId="28" xfId="42" applyNumberFormat="1" applyFont="1" applyBorder="1" applyAlignment="1" quotePrefix="1">
      <alignment horizontal="left" vertical="top"/>
      <protection/>
    </xf>
    <xf numFmtId="4" fontId="2" fillId="0" borderId="37" xfId="42" applyNumberFormat="1" applyFont="1" applyBorder="1" applyAlignment="1">
      <alignment vertical="top"/>
      <protection/>
    </xf>
    <xf numFmtId="180" fontId="2" fillId="34" borderId="38" xfId="42" applyNumberFormat="1" applyFont="1" applyFill="1" applyBorder="1" applyAlignment="1">
      <alignment horizontal="left" vertical="top"/>
      <protection/>
    </xf>
    <xf numFmtId="0" fontId="0" fillId="34" borderId="56" xfId="42" applyFont="1" applyFill="1" applyBorder="1">
      <alignment/>
      <protection/>
    </xf>
    <xf numFmtId="3" fontId="2" fillId="34" borderId="39" xfId="42" applyNumberFormat="1" applyFont="1" applyFill="1" applyBorder="1" applyAlignment="1">
      <alignment vertical="top" wrapText="1"/>
      <protection/>
    </xf>
    <xf numFmtId="4" fontId="2" fillId="34" borderId="39" xfId="42" applyNumberFormat="1" applyFont="1" applyFill="1" applyBorder="1" applyAlignment="1">
      <alignment vertical="top" wrapText="1"/>
      <protection/>
    </xf>
    <xf numFmtId="0" fontId="0" fillId="35" borderId="62" xfId="42" applyFont="1" applyFill="1" applyBorder="1">
      <alignment/>
      <protection/>
    </xf>
    <xf numFmtId="0" fontId="12" fillId="35" borderId="57" xfId="42" applyFont="1" applyFill="1" applyBorder="1" applyAlignment="1">
      <alignment horizontal="left" vertical="top"/>
      <protection/>
    </xf>
    <xf numFmtId="0" fontId="2" fillId="35" borderId="39" xfId="42" applyFont="1" applyFill="1" applyBorder="1" applyAlignment="1">
      <alignment horizontal="left" vertical="top" wrapText="1"/>
      <protection/>
    </xf>
    <xf numFmtId="3" fontId="2" fillId="35" borderId="58" xfId="42" applyNumberFormat="1" applyFont="1" applyFill="1" applyBorder="1" applyAlignment="1">
      <alignment vertical="top" wrapText="1"/>
      <protection/>
    </xf>
    <xf numFmtId="3" fontId="2" fillId="35" borderId="59" xfId="42" applyNumberFormat="1" applyFont="1" applyFill="1" applyBorder="1" applyAlignment="1">
      <alignment vertical="top" wrapText="1"/>
      <protection/>
    </xf>
    <xf numFmtId="0" fontId="0" fillId="0" borderId="0" xfId="42" applyFont="1" applyBorder="1" applyAlignment="1">
      <alignment horizontal="center" vertical="center" textRotation="177"/>
      <protection/>
    </xf>
    <xf numFmtId="0" fontId="1" fillId="0" borderId="13" xfId="42" applyFont="1" applyBorder="1" applyAlignment="1">
      <alignment horizontal="center" vertical="center"/>
      <protection/>
    </xf>
    <xf numFmtId="0" fontId="1" fillId="0" borderId="46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 textRotation="180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 applyAlignment="1">
      <alignment horizontal="left" wrapText="1"/>
      <protection/>
    </xf>
    <xf numFmtId="0" fontId="6" fillId="0" borderId="0" xfId="42" applyFont="1" applyBorder="1" applyAlignment="1">
      <alignment horizontal="center"/>
      <protection/>
    </xf>
    <xf numFmtId="0" fontId="1" fillId="0" borderId="50" xfId="42" applyFont="1" applyBorder="1" applyAlignment="1">
      <alignment horizontal="center" vertical="center"/>
      <protection/>
    </xf>
    <xf numFmtId="0" fontId="1" fillId="0" borderId="72" xfId="42" applyFont="1" applyBorder="1" applyAlignment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80"/>
      <rgbColor rgb="0080FF80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zoomScale="120" zoomScaleNormal="120" zoomScalePageLayoutView="0" workbookViewId="0" topLeftCell="A1">
      <selection activeCell="L48" sqref="L48:L71"/>
    </sheetView>
  </sheetViews>
  <sheetFormatPr defaultColWidth="9.140625" defaultRowHeight="12.75"/>
  <cols>
    <col min="1" max="1" width="6.7109375" style="0" customWidth="1"/>
    <col min="2" max="2" width="7.8515625" style="0" customWidth="1"/>
    <col min="3" max="3" width="2.8515625" style="0" customWidth="1"/>
    <col min="4" max="4" width="5.57421875" style="0" customWidth="1" collapsed="1"/>
    <col min="5" max="5" width="31.140625" style="0" customWidth="1"/>
    <col min="6" max="6" width="13.140625" style="0" hidden="1" customWidth="1"/>
    <col min="7" max="7" width="12.140625" style="0" hidden="1" customWidth="1"/>
    <col min="8" max="9" width="16.8515625" style="0" customWidth="1"/>
    <col min="10" max="10" width="15.421875" style="35" customWidth="1"/>
    <col min="11" max="11" width="14.00390625" style="240" customWidth="1"/>
    <col min="12" max="12" width="6.28125" style="35" customWidth="1"/>
    <col min="13" max="13" width="5.8515625" style="0" customWidth="1"/>
    <col min="14" max="14" width="8.57421875" style="0" customWidth="1"/>
  </cols>
  <sheetData>
    <row r="1" spans="1:13" ht="17.25" customHeight="1">
      <c r="A1" s="440"/>
      <c r="B1" s="440"/>
      <c r="H1" s="441"/>
      <c r="I1" s="441"/>
      <c r="J1" s="441"/>
      <c r="K1" s="241"/>
      <c r="L1" s="439">
        <v>1</v>
      </c>
      <c r="M1" s="290"/>
    </row>
    <row r="2" spans="1:13" ht="12.75">
      <c r="A2" s="442" t="s">
        <v>129</v>
      </c>
      <c r="B2" s="442"/>
      <c r="C2" s="442"/>
      <c r="D2" s="442"/>
      <c r="E2" s="442"/>
      <c r="F2" s="442"/>
      <c r="G2" s="442"/>
      <c r="H2" s="442"/>
      <c r="I2" s="442"/>
      <c r="J2" s="442"/>
      <c r="K2" s="242"/>
      <c r="L2" s="439"/>
      <c r="M2" s="290"/>
    </row>
    <row r="3" spans="1:13" ht="12.75">
      <c r="A3" s="35"/>
      <c r="B3" s="35"/>
      <c r="C3" s="35"/>
      <c r="D3" s="35"/>
      <c r="E3" s="35"/>
      <c r="F3" s="35"/>
      <c r="G3" s="35"/>
      <c r="H3" s="35"/>
      <c r="I3" s="35"/>
      <c r="K3" s="238"/>
      <c r="L3" s="439"/>
      <c r="M3" s="290"/>
    </row>
    <row r="4" spans="1:13" ht="20.25" customHeight="1">
      <c r="A4" s="252" t="s">
        <v>0</v>
      </c>
      <c r="B4" s="253" t="s">
        <v>1</v>
      </c>
      <c r="C4" s="443" t="s">
        <v>2</v>
      </c>
      <c r="D4" s="444"/>
      <c r="E4" s="254" t="s">
        <v>3</v>
      </c>
      <c r="F4" s="254" t="s">
        <v>4</v>
      </c>
      <c r="G4" s="254" t="s">
        <v>5</v>
      </c>
      <c r="H4" s="255" t="s">
        <v>130</v>
      </c>
      <c r="I4" s="199" t="s">
        <v>131</v>
      </c>
      <c r="J4" s="49" t="s">
        <v>107</v>
      </c>
      <c r="K4" s="236"/>
      <c r="L4" s="439"/>
      <c r="M4" s="290"/>
    </row>
    <row r="5" spans="1:13" ht="9" customHeight="1">
      <c r="A5" s="256">
        <v>1</v>
      </c>
      <c r="B5" s="39">
        <v>2</v>
      </c>
      <c r="C5" s="437">
        <v>3</v>
      </c>
      <c r="D5" s="438"/>
      <c r="E5" s="40">
        <v>4</v>
      </c>
      <c r="F5" s="40">
        <v>6</v>
      </c>
      <c r="G5" s="40">
        <v>7</v>
      </c>
      <c r="H5" s="39">
        <v>5</v>
      </c>
      <c r="I5" s="146">
        <v>6</v>
      </c>
      <c r="J5" s="49">
        <v>7</v>
      </c>
      <c r="K5" s="236"/>
      <c r="L5" s="439"/>
      <c r="M5" s="290"/>
    </row>
    <row r="6" spans="1:13" ht="12.75" customHeight="1">
      <c r="A6" s="257">
        <v>10</v>
      </c>
      <c r="B6" s="5"/>
      <c r="C6" s="5"/>
      <c r="D6" s="7"/>
      <c r="E6" s="8" t="s">
        <v>7</v>
      </c>
      <c r="F6" s="24">
        <f>SUM(F7,)</f>
        <v>36462</v>
      </c>
      <c r="G6" s="24">
        <f>SUM(G7,)</f>
        <v>0</v>
      </c>
      <c r="H6" s="24">
        <f>SUM(H7)</f>
        <v>16500</v>
      </c>
      <c r="I6" s="147">
        <f>SUM(I7)</f>
        <v>16500</v>
      </c>
      <c r="J6" s="50">
        <f>I6/H6</f>
        <v>1</v>
      </c>
      <c r="K6" s="236"/>
      <c r="L6" s="439"/>
      <c r="M6" s="290"/>
    </row>
    <row r="7" spans="1:13" ht="12" customHeight="1">
      <c r="A7" s="102"/>
      <c r="B7" s="10">
        <v>1005</v>
      </c>
      <c r="C7" s="9"/>
      <c r="D7" s="11"/>
      <c r="E7" s="19"/>
      <c r="F7" s="25">
        <f>SUM(F8:F8)</f>
        <v>36462</v>
      </c>
      <c r="G7" s="25">
        <f>SUM(G8:G8)</f>
        <v>0</v>
      </c>
      <c r="H7" s="25">
        <f>SUM(H8:H8)</f>
        <v>16500</v>
      </c>
      <c r="I7" s="148">
        <f>SUM(I8:I8)</f>
        <v>16500</v>
      </c>
      <c r="J7" s="159">
        <f>I7/H7</f>
        <v>1</v>
      </c>
      <c r="K7" s="236"/>
      <c r="L7" s="439"/>
      <c r="M7" s="290"/>
    </row>
    <row r="8" spans="1:13" ht="50.25" customHeight="1">
      <c r="A8" s="102"/>
      <c r="B8" s="335"/>
      <c r="C8" s="1"/>
      <c r="D8" s="15">
        <v>2110</v>
      </c>
      <c r="E8" s="20" t="s">
        <v>34</v>
      </c>
      <c r="F8" s="26">
        <v>36462</v>
      </c>
      <c r="G8" s="26">
        <v>0</v>
      </c>
      <c r="H8" s="33">
        <v>16500</v>
      </c>
      <c r="I8" s="186">
        <v>16500</v>
      </c>
      <c r="J8" s="160">
        <f>I8/H8</f>
        <v>1</v>
      </c>
      <c r="K8" s="236"/>
      <c r="L8" s="439"/>
      <c r="M8" s="290"/>
    </row>
    <row r="9" spans="1:13" ht="12.75" customHeight="1">
      <c r="A9" s="257">
        <v>20</v>
      </c>
      <c r="B9" s="5"/>
      <c r="C9" s="5"/>
      <c r="D9" s="7"/>
      <c r="E9" s="8" t="s">
        <v>7</v>
      </c>
      <c r="F9" s="24">
        <f>SUM(F10,)</f>
        <v>36462</v>
      </c>
      <c r="G9" s="24">
        <f>SUM(G10,)</f>
        <v>0</v>
      </c>
      <c r="H9" s="24">
        <f>SUM(H10)</f>
        <v>40048</v>
      </c>
      <c r="I9" s="147">
        <f>SUM(I10)</f>
        <v>40047.53</v>
      </c>
      <c r="J9" s="50">
        <f aca="true" t="shared" si="0" ref="J9:J19">I9/H9</f>
        <v>0.9999882640831003</v>
      </c>
      <c r="K9" s="237"/>
      <c r="L9" s="439"/>
      <c r="M9" s="290"/>
    </row>
    <row r="10" spans="1:13" ht="12" customHeight="1">
      <c r="A10" s="102"/>
      <c r="B10" s="10">
        <v>2001</v>
      </c>
      <c r="C10" s="9"/>
      <c r="D10" s="11"/>
      <c r="E10" s="19" t="s">
        <v>8</v>
      </c>
      <c r="F10" s="25">
        <f>SUM(F11:F11)</f>
        <v>36462</v>
      </c>
      <c r="G10" s="25">
        <f>SUM(G11:G11)</f>
        <v>0</v>
      </c>
      <c r="H10" s="25">
        <f>SUM(H11:H11)</f>
        <v>40048</v>
      </c>
      <c r="I10" s="148">
        <f>SUM(I11:I11)</f>
        <v>40047.53</v>
      </c>
      <c r="J10" s="159">
        <f t="shared" si="0"/>
        <v>0.9999882640831003</v>
      </c>
      <c r="K10" s="237"/>
      <c r="L10" s="439"/>
      <c r="M10" s="290"/>
    </row>
    <row r="11" spans="1:13" ht="46.5" customHeight="1">
      <c r="A11" s="102"/>
      <c r="B11" s="335"/>
      <c r="C11" s="1"/>
      <c r="D11" s="15">
        <v>2460</v>
      </c>
      <c r="E11" s="20" t="s">
        <v>58</v>
      </c>
      <c r="F11" s="26">
        <v>36462</v>
      </c>
      <c r="G11" s="26">
        <v>0</v>
      </c>
      <c r="H11" s="33">
        <v>40048</v>
      </c>
      <c r="I11" s="186">
        <v>40047.53</v>
      </c>
      <c r="J11" s="160">
        <v>0.9999</v>
      </c>
      <c r="K11" s="237"/>
      <c r="L11" s="439"/>
      <c r="M11" s="290"/>
    </row>
    <row r="12" spans="1:13" ht="12.75" customHeight="1">
      <c r="A12" s="258">
        <v>600</v>
      </c>
      <c r="B12" s="4"/>
      <c r="C12" s="4"/>
      <c r="D12" s="3"/>
      <c r="E12" s="22" t="s">
        <v>9</v>
      </c>
      <c r="F12" s="29">
        <f>SUM(F15)</f>
        <v>100</v>
      </c>
      <c r="G12" s="29">
        <f>SUM(G15)</f>
        <v>0</v>
      </c>
      <c r="H12" s="29">
        <f>SUM(H13,H15)</f>
        <v>1085080</v>
      </c>
      <c r="I12" s="150">
        <f>SUM(I13,I15)</f>
        <v>1087476.55</v>
      </c>
      <c r="J12" s="50">
        <f t="shared" si="0"/>
        <v>1.0022086389943599</v>
      </c>
      <c r="K12" s="237"/>
      <c r="L12" s="439"/>
      <c r="M12" s="290"/>
    </row>
    <row r="13" spans="1:13" s="124" customFormat="1" ht="12.75" customHeight="1">
      <c r="A13" s="408"/>
      <c r="B13" s="91">
        <v>60013</v>
      </c>
      <c r="C13" s="9"/>
      <c r="D13" s="11"/>
      <c r="E13" s="19" t="s">
        <v>132</v>
      </c>
      <c r="F13" s="25">
        <f>SUM(F14:F15)</f>
        <v>100</v>
      </c>
      <c r="G13" s="25">
        <f>SUM(G14:G15)</f>
        <v>0</v>
      </c>
      <c r="H13" s="25">
        <f>SUM(H14)</f>
        <v>130000</v>
      </c>
      <c r="I13" s="148">
        <f>SUM(I14)</f>
        <v>130000</v>
      </c>
      <c r="J13" s="159">
        <f>I13/H13</f>
        <v>1</v>
      </c>
      <c r="K13" s="237"/>
      <c r="L13" s="439"/>
      <c r="M13" s="337"/>
    </row>
    <row r="14" spans="1:13" s="124" customFormat="1" ht="56.25">
      <c r="A14" s="409"/>
      <c r="B14" s="382"/>
      <c r="C14" s="113"/>
      <c r="D14" s="103">
        <v>6610</v>
      </c>
      <c r="E14" s="379" t="s">
        <v>108</v>
      </c>
      <c r="F14" s="378"/>
      <c r="G14" s="378"/>
      <c r="H14" s="380">
        <v>130000</v>
      </c>
      <c r="I14" s="381">
        <v>130000</v>
      </c>
      <c r="J14" s="160">
        <f t="shared" si="0"/>
        <v>1</v>
      </c>
      <c r="K14" s="237"/>
      <c r="L14" s="439"/>
      <c r="M14" s="337"/>
    </row>
    <row r="15" spans="1:13" ht="12.75" customHeight="1">
      <c r="A15" s="225"/>
      <c r="B15" s="230">
        <v>60014</v>
      </c>
      <c r="C15" s="9"/>
      <c r="D15" s="11"/>
      <c r="E15" s="19" t="s">
        <v>10</v>
      </c>
      <c r="F15" s="25">
        <f>SUM(F16:F18)</f>
        <v>100</v>
      </c>
      <c r="G15" s="25">
        <f>SUM(G16:G18)</f>
        <v>0</v>
      </c>
      <c r="H15" s="25">
        <f>SUM(H16:H18)</f>
        <v>955080</v>
      </c>
      <c r="I15" s="148">
        <f>SUM(I16:I18)</f>
        <v>957476.55</v>
      </c>
      <c r="J15" s="159">
        <f t="shared" si="0"/>
        <v>1.0025092662394774</v>
      </c>
      <c r="K15" s="237"/>
      <c r="L15" s="439"/>
      <c r="M15" s="290"/>
    </row>
    <row r="16" spans="1:13" ht="11.25" customHeight="1">
      <c r="A16" s="102"/>
      <c r="B16" s="82"/>
      <c r="C16" s="87"/>
      <c r="D16" s="103" t="s">
        <v>59</v>
      </c>
      <c r="E16" s="42" t="s">
        <v>6</v>
      </c>
      <c r="F16" s="53">
        <v>100</v>
      </c>
      <c r="G16" s="53">
        <v>0</v>
      </c>
      <c r="H16" s="54">
        <v>50080</v>
      </c>
      <c r="I16" s="157">
        <v>52476.55</v>
      </c>
      <c r="J16" s="160">
        <f t="shared" si="0"/>
        <v>1.0478544329073483</v>
      </c>
      <c r="K16" s="237"/>
      <c r="L16" s="439"/>
      <c r="M16" s="290"/>
    </row>
    <row r="17" spans="1:13" ht="45">
      <c r="A17" s="102"/>
      <c r="B17" s="82"/>
      <c r="C17" s="87"/>
      <c r="D17" s="103">
        <v>2710</v>
      </c>
      <c r="E17" s="42" t="s">
        <v>133</v>
      </c>
      <c r="F17" s="53"/>
      <c r="G17" s="53"/>
      <c r="H17" s="54">
        <v>50000</v>
      </c>
      <c r="I17" s="157">
        <v>50000</v>
      </c>
      <c r="J17" s="160">
        <f t="shared" si="0"/>
        <v>1</v>
      </c>
      <c r="K17" s="237"/>
      <c r="L17" s="439"/>
      <c r="M17" s="290"/>
    </row>
    <row r="18" spans="1:13" ht="48" customHeight="1">
      <c r="A18" s="74"/>
      <c r="B18" s="73"/>
      <c r="C18" s="86"/>
      <c r="D18" s="103">
        <v>6300</v>
      </c>
      <c r="E18" s="42" t="s">
        <v>103</v>
      </c>
      <c r="F18" s="53"/>
      <c r="G18" s="53"/>
      <c r="H18" s="54">
        <v>855000</v>
      </c>
      <c r="I18" s="157">
        <v>855000</v>
      </c>
      <c r="J18" s="160">
        <f t="shared" si="0"/>
        <v>1</v>
      </c>
      <c r="K18" s="237"/>
      <c r="L18" s="439"/>
      <c r="M18" s="290"/>
    </row>
    <row r="19" spans="1:13" ht="12.75" customHeight="1">
      <c r="A19" s="259">
        <v>700</v>
      </c>
      <c r="B19" s="94"/>
      <c r="C19" s="5"/>
      <c r="D19" s="7"/>
      <c r="E19" s="18" t="s">
        <v>12</v>
      </c>
      <c r="F19" s="24">
        <f>SUM(F20)</f>
        <v>727253</v>
      </c>
      <c r="G19" s="24">
        <f>SUM(G20)</f>
        <v>130000</v>
      </c>
      <c r="H19" s="24">
        <f>SUM(H20)</f>
        <v>1725278</v>
      </c>
      <c r="I19" s="147">
        <f>SUM(I20)</f>
        <v>1646232.83</v>
      </c>
      <c r="J19" s="50">
        <f t="shared" si="0"/>
        <v>0.954184096707893</v>
      </c>
      <c r="K19" s="237"/>
      <c r="L19" s="439"/>
      <c r="M19" s="290"/>
    </row>
    <row r="20" spans="1:13" ht="12" customHeight="1">
      <c r="A20" s="81"/>
      <c r="B20" s="230">
        <v>70005</v>
      </c>
      <c r="C20" s="13"/>
      <c r="D20" s="12"/>
      <c r="E20" s="23" t="s">
        <v>35</v>
      </c>
      <c r="F20" s="31">
        <f>SUM(F21:F27)</f>
        <v>727253</v>
      </c>
      <c r="G20" s="31">
        <f>SUM(G21:G27)</f>
        <v>130000</v>
      </c>
      <c r="H20" s="31">
        <f>SUM(H21:H27)</f>
        <v>1725278</v>
      </c>
      <c r="I20" s="218">
        <f>SUM(I21:I27)</f>
        <v>1646232.83</v>
      </c>
      <c r="J20" s="219">
        <f aca="true" t="shared" si="1" ref="J20:J86">I20/H20</f>
        <v>0.954184096707893</v>
      </c>
      <c r="K20" s="237"/>
      <c r="L20" s="439"/>
      <c r="M20" s="290"/>
    </row>
    <row r="21" spans="1:13" ht="22.5" customHeight="1">
      <c r="A21" s="260"/>
      <c r="B21" s="93"/>
      <c r="C21" s="214"/>
      <c r="D21" s="220" t="s">
        <v>67</v>
      </c>
      <c r="E21" s="117" t="s">
        <v>36</v>
      </c>
      <c r="F21" s="118">
        <v>14153</v>
      </c>
      <c r="G21" s="118">
        <v>0</v>
      </c>
      <c r="H21" s="44">
        <v>14586</v>
      </c>
      <c r="I21" s="152">
        <v>14586.04</v>
      </c>
      <c r="J21" s="160">
        <f t="shared" si="1"/>
        <v>1.0000027423556836</v>
      </c>
      <c r="K21" s="237"/>
      <c r="L21" s="439"/>
      <c r="M21" s="290"/>
    </row>
    <row r="22" spans="1:13" ht="68.25" customHeight="1">
      <c r="A22" s="82"/>
      <c r="B22" s="82"/>
      <c r="C22" s="214"/>
      <c r="D22" s="215" t="s">
        <v>70</v>
      </c>
      <c r="E22" s="36" t="s">
        <v>89</v>
      </c>
      <c r="F22" s="34">
        <v>518100</v>
      </c>
      <c r="G22" s="34">
        <v>0</v>
      </c>
      <c r="H22" s="34">
        <v>851074</v>
      </c>
      <c r="I22" s="157">
        <v>784028.84</v>
      </c>
      <c r="J22" s="160">
        <f t="shared" si="1"/>
        <v>0.9212228783866032</v>
      </c>
      <c r="K22" s="237"/>
      <c r="L22" s="439"/>
      <c r="M22" s="290"/>
    </row>
    <row r="23" spans="1:13" ht="33.75">
      <c r="A23" s="82"/>
      <c r="B23" s="93"/>
      <c r="C23" s="138"/>
      <c r="D23" s="220" t="s">
        <v>134</v>
      </c>
      <c r="E23" s="117" t="s">
        <v>135</v>
      </c>
      <c r="F23" s="118">
        <v>75000</v>
      </c>
      <c r="G23" s="262">
        <v>0</v>
      </c>
      <c r="H23" s="44">
        <v>326000</v>
      </c>
      <c r="I23" s="152">
        <v>325799.5</v>
      </c>
      <c r="J23" s="160">
        <f t="shared" si="1"/>
        <v>0.9993849693251534</v>
      </c>
      <c r="K23" s="237"/>
      <c r="L23" s="439"/>
      <c r="M23" s="290"/>
    </row>
    <row r="24" spans="1:13" ht="11.25" customHeight="1">
      <c r="A24" s="73"/>
      <c r="B24" s="107"/>
      <c r="C24" s="86"/>
      <c r="D24" s="103" t="s">
        <v>72</v>
      </c>
      <c r="E24" s="42" t="s">
        <v>21</v>
      </c>
      <c r="F24" s="53"/>
      <c r="G24" s="54"/>
      <c r="H24" s="161">
        <v>1000</v>
      </c>
      <c r="I24" s="157">
        <v>2634.35</v>
      </c>
      <c r="J24" s="160">
        <f t="shared" si="1"/>
        <v>2.63435</v>
      </c>
      <c r="K24" s="261"/>
      <c r="L24" s="439"/>
      <c r="M24" s="290"/>
    </row>
    <row r="25" spans="1:13" ht="10.5" customHeight="1">
      <c r="A25" s="81"/>
      <c r="B25" s="92"/>
      <c r="C25" s="138"/>
      <c r="D25" s="220" t="s">
        <v>59</v>
      </c>
      <c r="E25" s="117" t="s">
        <v>6</v>
      </c>
      <c r="F25" s="118">
        <v>30450</v>
      </c>
      <c r="G25" s="118">
        <v>0</v>
      </c>
      <c r="H25" s="119">
        <v>900</v>
      </c>
      <c r="I25" s="307">
        <v>0</v>
      </c>
      <c r="J25" s="160">
        <f t="shared" si="1"/>
        <v>0</v>
      </c>
      <c r="K25" s="237"/>
      <c r="L25" s="439">
        <v>2</v>
      </c>
      <c r="M25" s="290"/>
    </row>
    <row r="26" spans="1:13" ht="48" customHeight="1">
      <c r="A26" s="82"/>
      <c r="B26" s="93"/>
      <c r="C26" s="138"/>
      <c r="D26" s="116">
        <v>2110</v>
      </c>
      <c r="E26" s="117" t="s">
        <v>34</v>
      </c>
      <c r="F26" s="118">
        <v>0</v>
      </c>
      <c r="G26" s="119">
        <v>130000</v>
      </c>
      <c r="H26" s="104">
        <v>394500</v>
      </c>
      <c r="I26" s="153">
        <v>379871.07</v>
      </c>
      <c r="J26" s="160">
        <f t="shared" si="1"/>
        <v>0.962917794676806</v>
      </c>
      <c r="K26" s="237"/>
      <c r="L26" s="439"/>
      <c r="M26" s="290"/>
    </row>
    <row r="27" spans="1:13" ht="47.25" customHeight="1">
      <c r="A27" s="73"/>
      <c r="B27" s="107"/>
      <c r="C27" s="87"/>
      <c r="D27" s="15">
        <v>2360</v>
      </c>
      <c r="E27" s="20" t="s">
        <v>37</v>
      </c>
      <c r="F27" s="70">
        <v>89550</v>
      </c>
      <c r="G27" s="71">
        <v>0</v>
      </c>
      <c r="H27" s="200">
        <v>137218</v>
      </c>
      <c r="I27" s="201">
        <v>139313.03</v>
      </c>
      <c r="J27" s="160">
        <f t="shared" si="1"/>
        <v>1.0152678948825955</v>
      </c>
      <c r="K27" s="237"/>
      <c r="L27" s="439"/>
      <c r="M27" s="290"/>
    </row>
    <row r="28" spans="1:13" ht="12" customHeight="1">
      <c r="A28" s="259">
        <v>710</v>
      </c>
      <c r="B28" s="94"/>
      <c r="C28" s="5"/>
      <c r="D28" s="7"/>
      <c r="E28" s="8" t="s">
        <v>13</v>
      </c>
      <c r="F28" s="24" t="e">
        <f>SUM(#REF!,F29,F31)</f>
        <v>#REF!</v>
      </c>
      <c r="G28" s="24" t="e">
        <f>SUM(#REF!,G29,G31)</f>
        <v>#REF!</v>
      </c>
      <c r="H28" s="43">
        <f>SUM(H29,H31)</f>
        <v>372931</v>
      </c>
      <c r="I28" s="162">
        <f>SUM(I29,I31)</f>
        <v>297728.33</v>
      </c>
      <c r="J28" s="50">
        <f t="shared" si="1"/>
        <v>0.798346959625239</v>
      </c>
      <c r="K28" s="237"/>
      <c r="L28" s="439"/>
      <c r="M28" s="290"/>
    </row>
    <row r="29" spans="1:13" ht="12.75" customHeight="1">
      <c r="A29" s="82"/>
      <c r="B29" s="106">
        <v>71014</v>
      </c>
      <c r="C29" s="76"/>
      <c r="D29" s="77"/>
      <c r="E29" s="78" t="s">
        <v>38</v>
      </c>
      <c r="F29" s="79">
        <f>SUM(F30)</f>
        <v>0</v>
      </c>
      <c r="G29" s="79">
        <f>SUM(G30)</f>
        <v>6000</v>
      </c>
      <c r="H29" s="45">
        <f>SUM(H30)</f>
        <v>6000</v>
      </c>
      <c r="I29" s="163">
        <f>SUM(I30)</f>
        <v>5953.5</v>
      </c>
      <c r="J29" s="159">
        <f t="shared" si="1"/>
        <v>0.99225</v>
      </c>
      <c r="K29" s="237"/>
      <c r="L29" s="439"/>
      <c r="M29" s="290"/>
    </row>
    <row r="30" spans="1:13" ht="45" customHeight="1">
      <c r="A30" s="82"/>
      <c r="B30" s="35"/>
      <c r="C30" s="1"/>
      <c r="D30" s="15">
        <v>2110</v>
      </c>
      <c r="E30" s="20" t="s">
        <v>34</v>
      </c>
      <c r="F30" s="26">
        <v>0</v>
      </c>
      <c r="G30" s="26">
        <v>6000</v>
      </c>
      <c r="H30" s="33">
        <v>6000</v>
      </c>
      <c r="I30" s="186">
        <v>5953.5</v>
      </c>
      <c r="J30" s="160">
        <f t="shared" si="1"/>
        <v>0.99225</v>
      </c>
      <c r="K30" s="237"/>
      <c r="L30" s="439"/>
      <c r="M30" s="290"/>
    </row>
    <row r="31" spans="1:13" ht="12" customHeight="1">
      <c r="A31" s="82"/>
      <c r="B31" s="89">
        <v>71015</v>
      </c>
      <c r="C31" s="9"/>
      <c r="D31" s="11"/>
      <c r="E31" s="14" t="s">
        <v>14</v>
      </c>
      <c r="F31" s="25">
        <f>SUM(F33:F34)</f>
        <v>20</v>
      </c>
      <c r="G31" s="25">
        <f>SUM(G33:G34)</f>
        <v>218000</v>
      </c>
      <c r="H31" s="25">
        <f>SUM(H32:H34)</f>
        <v>366931</v>
      </c>
      <c r="I31" s="148">
        <f>SUM(I32:I34)</f>
        <v>291774.83</v>
      </c>
      <c r="J31" s="159">
        <f t="shared" si="1"/>
        <v>0.7951762865497873</v>
      </c>
      <c r="K31" s="237"/>
      <c r="L31" s="439"/>
      <c r="M31" s="290"/>
    </row>
    <row r="32" spans="1:13" s="124" customFormat="1" ht="22.5">
      <c r="A32" s="383"/>
      <c r="B32" s="90"/>
      <c r="C32" s="113"/>
      <c r="D32" s="130" t="s">
        <v>62</v>
      </c>
      <c r="E32" s="385" t="s">
        <v>90</v>
      </c>
      <c r="F32" s="115"/>
      <c r="G32" s="115"/>
      <c r="H32" s="336">
        <v>0</v>
      </c>
      <c r="I32" s="384">
        <v>350</v>
      </c>
      <c r="J32" s="160" t="e">
        <f t="shared" si="1"/>
        <v>#DIV/0!</v>
      </c>
      <c r="K32" s="237"/>
      <c r="L32" s="439"/>
      <c r="M32" s="337"/>
    </row>
    <row r="33" spans="1:13" ht="11.25" customHeight="1">
      <c r="A33" s="82"/>
      <c r="B33" s="90"/>
      <c r="C33" s="113"/>
      <c r="D33" s="129" t="s">
        <v>59</v>
      </c>
      <c r="E33" s="114" t="s">
        <v>6</v>
      </c>
      <c r="F33" s="115">
        <v>20</v>
      </c>
      <c r="G33" s="115">
        <v>0</v>
      </c>
      <c r="H33" s="33">
        <v>20</v>
      </c>
      <c r="I33" s="186">
        <v>47</v>
      </c>
      <c r="J33" s="160">
        <f t="shared" si="1"/>
        <v>2.35</v>
      </c>
      <c r="K33" s="237"/>
      <c r="L33" s="439"/>
      <c r="M33" s="290"/>
    </row>
    <row r="34" spans="1:13" ht="46.5" customHeight="1">
      <c r="A34" s="73"/>
      <c r="B34" s="35"/>
      <c r="C34" s="1"/>
      <c r="D34" s="15">
        <v>2110</v>
      </c>
      <c r="E34" s="20" t="s">
        <v>34</v>
      </c>
      <c r="F34" s="26">
        <v>0</v>
      </c>
      <c r="G34" s="26">
        <v>218000</v>
      </c>
      <c r="H34" s="33">
        <v>366911</v>
      </c>
      <c r="I34" s="186">
        <v>291377.83</v>
      </c>
      <c r="J34" s="160">
        <f t="shared" si="1"/>
        <v>0.7941376246555705</v>
      </c>
      <c r="K34" s="237"/>
      <c r="L34" s="439"/>
      <c r="M34" s="290"/>
    </row>
    <row r="35" spans="1:13" ht="12.75" customHeight="1">
      <c r="A35" s="259">
        <v>750</v>
      </c>
      <c r="B35" s="5"/>
      <c r="C35" s="5"/>
      <c r="D35" s="7"/>
      <c r="E35" s="8" t="s">
        <v>15</v>
      </c>
      <c r="F35" s="24">
        <f>SUM(F36,F40,F44)</f>
        <v>75050</v>
      </c>
      <c r="G35" s="24">
        <f>SUM(G36,G40,G44)</f>
        <v>199000</v>
      </c>
      <c r="H35" s="24">
        <f>SUM(H36,H40,H44)</f>
        <v>248316</v>
      </c>
      <c r="I35" s="147">
        <f>SUM(I36,I40,I44)</f>
        <v>260213.75</v>
      </c>
      <c r="J35" s="50">
        <f t="shared" si="1"/>
        <v>1.0479137469997906</v>
      </c>
      <c r="K35" s="237"/>
      <c r="L35" s="439"/>
      <c r="M35" s="290"/>
    </row>
    <row r="36" spans="1:13" ht="12" customHeight="1">
      <c r="A36" s="81"/>
      <c r="B36" s="91">
        <v>75011</v>
      </c>
      <c r="C36" s="9"/>
      <c r="D36" s="11"/>
      <c r="E36" s="19" t="s">
        <v>16</v>
      </c>
      <c r="F36" s="25">
        <f>SUM(F37:F38)</f>
        <v>50</v>
      </c>
      <c r="G36" s="25">
        <f>SUM(G37:G38)</f>
        <v>166000</v>
      </c>
      <c r="H36" s="25">
        <f>SUM(H37:H39)</f>
        <v>174395</v>
      </c>
      <c r="I36" s="148">
        <f>SUM(I37:I39)</f>
        <v>174438.12</v>
      </c>
      <c r="J36" s="159">
        <f t="shared" si="1"/>
        <v>1.0002472547951489</v>
      </c>
      <c r="K36" s="237"/>
      <c r="L36" s="439"/>
      <c r="M36" s="290"/>
    </row>
    <row r="37" spans="1:13" ht="11.25" customHeight="1">
      <c r="A37" s="102"/>
      <c r="B37" s="141"/>
      <c r="C37" s="140"/>
      <c r="D37" s="130" t="s">
        <v>59</v>
      </c>
      <c r="E37" s="21" t="s">
        <v>6</v>
      </c>
      <c r="F37" s="112">
        <v>50</v>
      </c>
      <c r="G37" s="112">
        <v>0</v>
      </c>
      <c r="H37" s="104">
        <v>50</v>
      </c>
      <c r="I37" s="153">
        <v>84</v>
      </c>
      <c r="J37" s="160">
        <f t="shared" si="1"/>
        <v>1.68</v>
      </c>
      <c r="K37" s="237"/>
      <c r="L37" s="439"/>
      <c r="M37" s="290"/>
    </row>
    <row r="38" spans="1:13" ht="46.5" customHeight="1">
      <c r="A38" s="102"/>
      <c r="B38" s="82"/>
      <c r="C38" s="80"/>
      <c r="D38" s="110">
        <v>2110</v>
      </c>
      <c r="E38" s="111" t="s">
        <v>34</v>
      </c>
      <c r="F38" s="75">
        <v>0</v>
      </c>
      <c r="G38" s="75">
        <v>166000</v>
      </c>
      <c r="H38" s="104">
        <v>174300</v>
      </c>
      <c r="I38" s="153">
        <v>174300</v>
      </c>
      <c r="J38" s="160">
        <f t="shared" si="1"/>
        <v>1</v>
      </c>
      <c r="K38" s="237"/>
      <c r="L38" s="439"/>
      <c r="M38" s="290"/>
    </row>
    <row r="39" spans="1:13" ht="45.75" customHeight="1">
      <c r="A39" s="102"/>
      <c r="B39" s="73"/>
      <c r="C39" s="263"/>
      <c r="D39" s="264">
        <v>2360</v>
      </c>
      <c r="E39" s="265" t="s">
        <v>37</v>
      </c>
      <c r="F39" s="266"/>
      <c r="G39" s="266"/>
      <c r="H39" s="267">
        <v>45</v>
      </c>
      <c r="I39" s="157">
        <v>54.12</v>
      </c>
      <c r="J39" s="160">
        <f t="shared" si="1"/>
        <v>1.2026666666666666</v>
      </c>
      <c r="K39" s="261"/>
      <c r="L39" s="439"/>
      <c r="M39" s="290"/>
    </row>
    <row r="40" spans="1:13" ht="12.75" customHeight="1">
      <c r="A40" s="82"/>
      <c r="B40" s="106">
        <v>75020</v>
      </c>
      <c r="C40" s="9"/>
      <c r="D40" s="11"/>
      <c r="E40" s="14" t="s">
        <v>17</v>
      </c>
      <c r="F40" s="45">
        <f>SUM(F41:F43)</f>
        <v>75000</v>
      </c>
      <c r="G40" s="45">
        <f>SUM(G41:G43)</f>
        <v>0</v>
      </c>
      <c r="H40" s="204">
        <f>SUM(H41:H43)</f>
        <v>38921</v>
      </c>
      <c r="I40" s="202">
        <f>SUM(I41:I43)</f>
        <v>50897.869999999995</v>
      </c>
      <c r="J40" s="159">
        <f t="shared" si="1"/>
        <v>1.3077225662238894</v>
      </c>
      <c r="K40" s="237"/>
      <c r="L40" s="439"/>
      <c r="M40" s="290"/>
    </row>
    <row r="41" spans="1:13" ht="11.25" customHeight="1">
      <c r="A41" s="82"/>
      <c r="B41" s="35"/>
      <c r="C41" s="6"/>
      <c r="D41" s="65" t="s">
        <v>61</v>
      </c>
      <c r="E41" s="21" t="s">
        <v>11</v>
      </c>
      <c r="F41" s="27">
        <v>15000</v>
      </c>
      <c r="G41" s="27">
        <v>0</v>
      </c>
      <c r="H41" s="203">
        <v>15000</v>
      </c>
      <c r="I41" s="186">
        <v>12139.99</v>
      </c>
      <c r="J41" s="160">
        <f t="shared" si="1"/>
        <v>0.8093326666666667</v>
      </c>
      <c r="K41" s="237"/>
      <c r="L41" s="439"/>
      <c r="M41" s="290"/>
    </row>
    <row r="42" spans="1:13" ht="22.5">
      <c r="A42" s="82"/>
      <c r="B42" s="35"/>
      <c r="C42" s="6"/>
      <c r="D42" s="65" t="s">
        <v>73</v>
      </c>
      <c r="E42" s="42" t="s">
        <v>105</v>
      </c>
      <c r="F42" s="27"/>
      <c r="G42" s="27"/>
      <c r="H42" s="37">
        <v>0</v>
      </c>
      <c r="I42" s="186">
        <v>500</v>
      </c>
      <c r="J42" s="160" t="e">
        <f t="shared" si="1"/>
        <v>#DIV/0!</v>
      </c>
      <c r="K42" s="261"/>
      <c r="L42" s="439"/>
      <c r="M42" s="290"/>
    </row>
    <row r="43" spans="1:13" ht="12.75">
      <c r="A43" s="82"/>
      <c r="B43" s="80"/>
      <c r="C43" s="52"/>
      <c r="D43" s="65" t="s">
        <v>59</v>
      </c>
      <c r="E43" s="42" t="s">
        <v>6</v>
      </c>
      <c r="F43" s="53">
        <v>60000</v>
      </c>
      <c r="G43" s="53">
        <v>0</v>
      </c>
      <c r="H43" s="54">
        <v>23921</v>
      </c>
      <c r="I43" s="183">
        <v>38257.88</v>
      </c>
      <c r="J43" s="160">
        <f t="shared" si="1"/>
        <v>1.5993428368379248</v>
      </c>
      <c r="K43" s="237"/>
      <c r="L43" s="439"/>
      <c r="M43" s="290"/>
    </row>
    <row r="44" spans="1:13" ht="12.75" customHeight="1">
      <c r="A44" s="82"/>
      <c r="B44" s="139">
        <v>75045</v>
      </c>
      <c r="C44" s="308"/>
      <c r="D44" s="308"/>
      <c r="E44" s="309" t="s">
        <v>18</v>
      </c>
      <c r="F44" s="310">
        <f>SUM(F46,F45)</f>
        <v>0</v>
      </c>
      <c r="G44" s="310">
        <f>SUM(G46,G45)</f>
        <v>33000</v>
      </c>
      <c r="H44" s="310">
        <f>SUM(H46,H45)</f>
        <v>35000</v>
      </c>
      <c r="I44" s="311">
        <f>SUM(I46,I45)</f>
        <v>34877.759999999995</v>
      </c>
      <c r="J44" s="159">
        <f t="shared" si="1"/>
        <v>0.9965074285714284</v>
      </c>
      <c r="K44" s="237"/>
      <c r="L44" s="439"/>
      <c r="M44" s="290"/>
    </row>
    <row r="45" spans="1:13" ht="46.5" customHeight="1">
      <c r="A45" s="82"/>
      <c r="B45" s="93"/>
      <c r="C45" s="80"/>
      <c r="D45" s="110">
        <v>2110</v>
      </c>
      <c r="E45" s="111" t="s">
        <v>34</v>
      </c>
      <c r="F45" s="75">
        <v>0</v>
      </c>
      <c r="G45" s="305">
        <v>27000</v>
      </c>
      <c r="H45" s="104">
        <v>27000</v>
      </c>
      <c r="I45" s="153">
        <v>26946.76</v>
      </c>
      <c r="J45" s="306">
        <f t="shared" si="1"/>
        <v>0.9980281481481481</v>
      </c>
      <c r="K45" s="237"/>
      <c r="L45" s="439"/>
      <c r="M45" s="290"/>
    </row>
    <row r="46" spans="1:13" ht="44.25" customHeight="1">
      <c r="A46" s="73"/>
      <c r="B46" s="107"/>
      <c r="C46" s="87"/>
      <c r="D46" s="15">
        <v>2120</v>
      </c>
      <c r="E46" s="20" t="s">
        <v>39</v>
      </c>
      <c r="F46" s="26">
        <v>0</v>
      </c>
      <c r="G46" s="33">
        <v>6000</v>
      </c>
      <c r="H46" s="44">
        <v>8000</v>
      </c>
      <c r="I46" s="152">
        <v>7931</v>
      </c>
      <c r="J46" s="160">
        <f t="shared" si="1"/>
        <v>0.991375</v>
      </c>
      <c r="K46" s="237"/>
      <c r="L46" s="439"/>
      <c r="M46" s="290"/>
    </row>
    <row r="47" spans="1:13" ht="22.5">
      <c r="A47" s="410">
        <v>754</v>
      </c>
      <c r="B47" s="411"/>
      <c r="C47" s="412"/>
      <c r="D47" s="413"/>
      <c r="E47" s="414" t="s">
        <v>40</v>
      </c>
      <c r="F47" s="415" t="e">
        <f>SUM(F48,#REF!)</f>
        <v>#REF!</v>
      </c>
      <c r="G47" s="415" t="e">
        <f>SUM(G48,#REF!)</f>
        <v>#REF!</v>
      </c>
      <c r="H47" s="415">
        <f>SUM(H48)</f>
        <v>2801634</v>
      </c>
      <c r="I47" s="416">
        <f>SUM(I48)</f>
        <v>2801964.7300000004</v>
      </c>
      <c r="J47" s="50">
        <f t="shared" si="1"/>
        <v>1.0001180489671386</v>
      </c>
      <c r="K47" s="237"/>
      <c r="L47" s="439"/>
      <c r="M47" s="290"/>
    </row>
    <row r="48" spans="1:13" ht="22.5">
      <c r="A48" s="417"/>
      <c r="B48" s="418">
        <v>75411</v>
      </c>
      <c r="C48" s="328"/>
      <c r="D48" s="324"/>
      <c r="E48" s="325" t="s">
        <v>41</v>
      </c>
      <c r="F48" s="326">
        <f>SUM(F49:F52)</f>
        <v>15900</v>
      </c>
      <c r="G48" s="326">
        <f>SUM(G49:G52)</f>
        <v>2412700</v>
      </c>
      <c r="H48" s="326">
        <f>SUM(H49:H53)</f>
        <v>2801634</v>
      </c>
      <c r="I48" s="327">
        <f>SUM(I49:I53)</f>
        <v>2801964.7300000004</v>
      </c>
      <c r="J48" s="159">
        <f t="shared" si="1"/>
        <v>1.0001180489671386</v>
      </c>
      <c r="K48" s="237"/>
      <c r="L48" s="439">
        <v>3</v>
      </c>
      <c r="M48" s="290"/>
    </row>
    <row r="49" spans="1:13" ht="11.25" customHeight="1">
      <c r="A49" s="351"/>
      <c r="B49" s="108"/>
      <c r="C49" s="52"/>
      <c r="D49" s="103" t="s">
        <v>59</v>
      </c>
      <c r="E49" s="42" t="s">
        <v>6</v>
      </c>
      <c r="F49" s="53">
        <f>15400+267</f>
        <v>15667</v>
      </c>
      <c r="G49" s="53">
        <v>0</v>
      </c>
      <c r="H49" s="54">
        <v>1400</v>
      </c>
      <c r="I49" s="183">
        <v>1741</v>
      </c>
      <c r="J49" s="160">
        <f t="shared" si="1"/>
        <v>1.2435714285714285</v>
      </c>
      <c r="K49" s="237"/>
      <c r="L49" s="439"/>
      <c r="M49" s="290"/>
    </row>
    <row r="50" spans="1:13" ht="48" customHeight="1">
      <c r="A50" s="102"/>
      <c r="B50" s="278"/>
      <c r="C50" s="278"/>
      <c r="D50" s="264">
        <v>2110</v>
      </c>
      <c r="E50" s="265" t="s">
        <v>34</v>
      </c>
      <c r="F50" s="279">
        <v>0</v>
      </c>
      <c r="G50" s="279">
        <v>2282700</v>
      </c>
      <c r="H50" s="266">
        <v>2669964</v>
      </c>
      <c r="I50" s="157">
        <v>2669952</v>
      </c>
      <c r="J50" s="160">
        <v>0.9999</v>
      </c>
      <c r="K50" s="237"/>
      <c r="L50" s="439"/>
      <c r="M50" s="290"/>
    </row>
    <row r="51" spans="1:13" ht="45">
      <c r="A51" s="102"/>
      <c r="B51" s="2"/>
      <c r="C51" s="1"/>
      <c r="D51" s="15">
        <v>2360</v>
      </c>
      <c r="E51" s="20" t="s">
        <v>37</v>
      </c>
      <c r="F51" s="70">
        <f>500-267</f>
        <v>233</v>
      </c>
      <c r="G51" s="71">
        <v>0</v>
      </c>
      <c r="H51" s="72">
        <v>270</v>
      </c>
      <c r="I51" s="154">
        <v>271.74</v>
      </c>
      <c r="J51" s="160">
        <f t="shared" si="1"/>
        <v>1.0064444444444445</v>
      </c>
      <c r="K51" s="237"/>
      <c r="L51" s="439"/>
      <c r="M51" s="290"/>
    </row>
    <row r="52" spans="1:13" ht="55.5" customHeight="1">
      <c r="A52" s="102"/>
      <c r="B52" s="2"/>
      <c r="C52" s="278"/>
      <c r="D52" s="264">
        <v>6410</v>
      </c>
      <c r="E52" s="291" t="s">
        <v>106</v>
      </c>
      <c r="F52" s="279">
        <v>0</v>
      </c>
      <c r="G52" s="279">
        <v>130000</v>
      </c>
      <c r="H52" s="266">
        <v>110000</v>
      </c>
      <c r="I52" s="182">
        <v>109999.99</v>
      </c>
      <c r="J52" s="160">
        <v>0.9999</v>
      </c>
      <c r="K52" s="237"/>
      <c r="L52" s="439"/>
      <c r="M52" s="290"/>
    </row>
    <row r="53" spans="1:13" ht="47.25" customHeight="1">
      <c r="A53" s="351"/>
      <c r="B53" s="108"/>
      <c r="C53" s="52"/>
      <c r="D53" s="41">
        <v>6610</v>
      </c>
      <c r="E53" s="42" t="s">
        <v>108</v>
      </c>
      <c r="F53" s="53"/>
      <c r="G53" s="53"/>
      <c r="H53" s="292">
        <v>20000</v>
      </c>
      <c r="I53" s="151">
        <v>20000</v>
      </c>
      <c r="J53" s="160">
        <f t="shared" si="1"/>
        <v>1</v>
      </c>
      <c r="K53" s="237"/>
      <c r="L53" s="439"/>
      <c r="M53" s="290"/>
    </row>
    <row r="54" spans="1:13" ht="45.75" customHeight="1">
      <c r="A54" s="312">
        <v>756</v>
      </c>
      <c r="B54" s="313"/>
      <c r="C54" s="313"/>
      <c r="D54" s="314"/>
      <c r="E54" s="315" t="s">
        <v>91</v>
      </c>
      <c r="F54" s="316">
        <f>SUM(F58,F55)</f>
        <v>9472681</v>
      </c>
      <c r="G54" s="316">
        <f>SUM(G58,G55)</f>
        <v>0</v>
      </c>
      <c r="H54" s="316">
        <f>SUM(H58,H55)</f>
        <v>11651245</v>
      </c>
      <c r="I54" s="317">
        <f>SUM(I58,I55)</f>
        <v>12046437.01</v>
      </c>
      <c r="J54" s="50">
        <f t="shared" si="1"/>
        <v>1.0339184361842877</v>
      </c>
      <c r="K54" s="237"/>
      <c r="L54" s="439"/>
      <c r="M54" s="290"/>
    </row>
    <row r="55" spans="1:13" ht="34.5" customHeight="1">
      <c r="A55" s="268"/>
      <c r="B55" s="38">
        <v>75618</v>
      </c>
      <c r="C55" s="13"/>
      <c r="D55" s="12"/>
      <c r="E55" s="23" t="s">
        <v>92</v>
      </c>
      <c r="F55" s="30">
        <f>SUM(F56)</f>
        <v>2400000</v>
      </c>
      <c r="G55" s="30">
        <f>SUM(G56)</f>
        <v>0</v>
      </c>
      <c r="H55" s="30">
        <f>SUM(H56:H57)</f>
        <v>2360000</v>
      </c>
      <c r="I55" s="195">
        <f>SUM(I56:I57)</f>
        <v>2260253.9</v>
      </c>
      <c r="J55" s="159">
        <f t="shared" si="1"/>
        <v>0.9577347033898305</v>
      </c>
      <c r="K55" s="237"/>
      <c r="L55" s="439"/>
      <c r="M55" s="290"/>
    </row>
    <row r="56" spans="1:13" ht="10.5" customHeight="1">
      <c r="A56" s="332"/>
      <c r="B56" s="108"/>
      <c r="C56" s="52"/>
      <c r="D56" s="103" t="s">
        <v>65</v>
      </c>
      <c r="E56" s="269" t="s">
        <v>55</v>
      </c>
      <c r="F56" s="68">
        <v>2400000</v>
      </c>
      <c r="G56" s="68">
        <v>0</v>
      </c>
      <c r="H56" s="69">
        <v>2280000</v>
      </c>
      <c r="I56" s="181">
        <v>2152815.1</v>
      </c>
      <c r="J56" s="160">
        <f t="shared" si="1"/>
        <v>0.9442171491228071</v>
      </c>
      <c r="K56" s="237"/>
      <c r="L56" s="439"/>
      <c r="M56" s="290"/>
    </row>
    <row r="57" spans="1:13" ht="34.5" customHeight="1">
      <c r="A57" s="332"/>
      <c r="B57" s="108"/>
      <c r="C57" s="2"/>
      <c r="D57" s="281" t="s">
        <v>109</v>
      </c>
      <c r="E57" s="282" t="s">
        <v>110</v>
      </c>
      <c r="F57" s="283"/>
      <c r="G57" s="283"/>
      <c r="H57" s="283">
        <v>80000</v>
      </c>
      <c r="I57" s="284">
        <v>107438.8</v>
      </c>
      <c r="J57" s="160">
        <f t="shared" si="1"/>
        <v>1.342985</v>
      </c>
      <c r="K57" s="237"/>
      <c r="L57" s="439"/>
      <c r="M57" s="280"/>
    </row>
    <row r="58" spans="1:13" ht="22.5" customHeight="1">
      <c r="A58" s="102"/>
      <c r="B58" s="270">
        <v>75622</v>
      </c>
      <c r="C58" s="271"/>
      <c r="D58" s="272"/>
      <c r="E58" s="273" t="s">
        <v>42</v>
      </c>
      <c r="F58" s="274">
        <f>SUM(F59:F60)</f>
        <v>7072681</v>
      </c>
      <c r="G58" s="274">
        <f>SUM(G59:G60)</f>
        <v>0</v>
      </c>
      <c r="H58" s="274">
        <f>SUM(H59:H60)</f>
        <v>9291245</v>
      </c>
      <c r="I58" s="275">
        <f>SUM(I59:I60)</f>
        <v>9786183.11</v>
      </c>
      <c r="J58" s="180">
        <f t="shared" si="1"/>
        <v>1.0532692992166282</v>
      </c>
      <c r="K58" s="237"/>
      <c r="L58" s="439"/>
      <c r="M58" s="290"/>
    </row>
    <row r="59" spans="1:13" ht="11.25" customHeight="1">
      <c r="A59" s="102"/>
      <c r="B59" s="2"/>
      <c r="C59" s="6"/>
      <c r="D59" s="65" t="s">
        <v>63</v>
      </c>
      <c r="E59" s="21" t="s">
        <v>46</v>
      </c>
      <c r="F59" s="68">
        <v>6572681</v>
      </c>
      <c r="G59" s="66">
        <v>0</v>
      </c>
      <c r="H59" s="67">
        <v>8591245</v>
      </c>
      <c r="I59" s="330">
        <v>9251459</v>
      </c>
      <c r="J59" s="160">
        <f t="shared" si="1"/>
        <v>1.0768473021081344</v>
      </c>
      <c r="K59" s="237"/>
      <c r="L59" s="439"/>
      <c r="M59" s="290"/>
    </row>
    <row r="60" spans="1:13" ht="11.25" customHeight="1">
      <c r="A60" s="74"/>
      <c r="B60" s="108"/>
      <c r="C60" s="108"/>
      <c r="D60" s="103" t="s">
        <v>64</v>
      </c>
      <c r="E60" s="42" t="s">
        <v>57</v>
      </c>
      <c r="F60" s="68">
        <v>500000</v>
      </c>
      <c r="G60" s="68">
        <v>0</v>
      </c>
      <c r="H60" s="69">
        <v>700000</v>
      </c>
      <c r="I60" s="181">
        <v>534724.11</v>
      </c>
      <c r="J60" s="160">
        <f t="shared" si="1"/>
        <v>0.7638915857142857</v>
      </c>
      <c r="K60" s="237"/>
      <c r="L60" s="439"/>
      <c r="M60" s="290"/>
    </row>
    <row r="61" spans="1:13" ht="12.75" customHeight="1">
      <c r="A61" s="259">
        <v>758</v>
      </c>
      <c r="B61" s="94"/>
      <c r="C61" s="94"/>
      <c r="D61" s="95"/>
      <c r="E61" s="96" t="s">
        <v>19</v>
      </c>
      <c r="F61" s="97">
        <f>SUM(F71,F68,F66,F62)</f>
        <v>22574009</v>
      </c>
      <c r="G61" s="97">
        <f>SUM(G71,G68,G66,G62)</f>
        <v>0</v>
      </c>
      <c r="H61" s="97">
        <f>SUM(H71,H68,H66,H64,H62)</f>
        <v>25011217</v>
      </c>
      <c r="I61" s="165">
        <f>SUM(I71,I68,I66,I64,I62)</f>
        <v>25032547.19</v>
      </c>
      <c r="J61" s="50">
        <f t="shared" si="1"/>
        <v>1.0008528249544995</v>
      </c>
      <c r="K61" s="237"/>
      <c r="L61" s="439"/>
      <c r="M61" s="290"/>
    </row>
    <row r="62" spans="1:13" ht="24" customHeight="1">
      <c r="A62" s="81"/>
      <c r="B62" s="99">
        <v>75801</v>
      </c>
      <c r="C62" s="13"/>
      <c r="D62" s="12"/>
      <c r="E62" s="23" t="s">
        <v>43</v>
      </c>
      <c r="F62" s="31">
        <f>SUM(F63)</f>
        <v>18840570</v>
      </c>
      <c r="G62" s="31">
        <f>SUM(G63)</f>
        <v>0</v>
      </c>
      <c r="H62" s="31">
        <f>SUM(H63)</f>
        <v>21153399</v>
      </c>
      <c r="I62" s="187">
        <f>SUM(I63)</f>
        <v>21153399</v>
      </c>
      <c r="J62" s="159">
        <f t="shared" si="1"/>
        <v>1</v>
      </c>
      <c r="K62" s="237"/>
      <c r="L62" s="439"/>
      <c r="M62" s="290"/>
    </row>
    <row r="63" spans="1:13" ht="11.25" customHeight="1">
      <c r="A63" s="82"/>
      <c r="B63" s="35"/>
      <c r="C63" s="6"/>
      <c r="D63" s="17">
        <v>2920</v>
      </c>
      <c r="E63" s="21" t="s">
        <v>44</v>
      </c>
      <c r="F63" s="66">
        <v>18840570</v>
      </c>
      <c r="G63" s="66">
        <v>0</v>
      </c>
      <c r="H63" s="66">
        <v>21153399</v>
      </c>
      <c r="I63" s="155">
        <v>21153399</v>
      </c>
      <c r="J63" s="160">
        <f t="shared" si="1"/>
        <v>1</v>
      </c>
      <c r="K63" s="237"/>
      <c r="L63" s="439"/>
      <c r="M63" s="290"/>
    </row>
    <row r="64" spans="1:13" ht="24.75" customHeight="1">
      <c r="A64" s="82"/>
      <c r="B64" s="99">
        <v>75802</v>
      </c>
      <c r="C64" s="13"/>
      <c r="D64" s="12"/>
      <c r="E64" s="23" t="s">
        <v>126</v>
      </c>
      <c r="F64" s="31">
        <f>SUM(F65)</f>
        <v>18840570</v>
      </c>
      <c r="G64" s="31">
        <f>SUM(G65)</f>
        <v>0</v>
      </c>
      <c r="H64" s="31">
        <f>SUM(H65)</f>
        <v>63964</v>
      </c>
      <c r="I64" s="187">
        <f>SUM(I65)</f>
        <v>63964</v>
      </c>
      <c r="J64" s="159">
        <f>I64/H64</f>
        <v>1</v>
      </c>
      <c r="K64" s="237"/>
      <c r="L64" s="439"/>
      <c r="M64" s="290"/>
    </row>
    <row r="65" spans="1:13" ht="11.25" customHeight="1">
      <c r="A65" s="82"/>
      <c r="B65" s="35"/>
      <c r="C65" s="6"/>
      <c r="D65" s="17">
        <v>2760</v>
      </c>
      <c r="E65" s="21" t="s">
        <v>136</v>
      </c>
      <c r="F65" s="66">
        <v>18840570</v>
      </c>
      <c r="G65" s="66">
        <v>0</v>
      </c>
      <c r="H65" s="66">
        <v>63964</v>
      </c>
      <c r="I65" s="155">
        <v>63964</v>
      </c>
      <c r="J65" s="160">
        <f>I65/H65</f>
        <v>1</v>
      </c>
      <c r="K65" s="237"/>
      <c r="L65" s="439"/>
      <c r="M65" s="290"/>
    </row>
    <row r="66" spans="1:13" ht="22.5">
      <c r="A66" s="82"/>
      <c r="B66" s="89">
        <v>75803</v>
      </c>
      <c r="C66" s="9"/>
      <c r="D66" s="11"/>
      <c r="E66" s="19" t="s">
        <v>45</v>
      </c>
      <c r="F66" s="25">
        <f>SUM(F67)</f>
        <v>1870798</v>
      </c>
      <c r="G66" s="25">
        <f>SUM(G67)</f>
        <v>0</v>
      </c>
      <c r="H66" s="25">
        <f>SUM(H67)</f>
        <v>1866555</v>
      </c>
      <c r="I66" s="148">
        <f>SUM(I67)</f>
        <v>1866555</v>
      </c>
      <c r="J66" s="159">
        <f t="shared" si="1"/>
        <v>1</v>
      </c>
      <c r="K66" s="237"/>
      <c r="L66" s="439"/>
      <c r="M66" s="290"/>
    </row>
    <row r="67" spans="1:13" ht="11.25" customHeight="1">
      <c r="A67" s="82"/>
      <c r="B67" s="80"/>
      <c r="C67" s="52"/>
      <c r="D67" s="41">
        <v>2920</v>
      </c>
      <c r="E67" s="42" t="s">
        <v>44</v>
      </c>
      <c r="F67" s="68">
        <v>1870798</v>
      </c>
      <c r="G67" s="68">
        <v>0</v>
      </c>
      <c r="H67" s="68">
        <v>1866555</v>
      </c>
      <c r="I67" s="156">
        <v>1866555</v>
      </c>
      <c r="J67" s="160">
        <f t="shared" si="1"/>
        <v>1</v>
      </c>
      <c r="K67" s="237"/>
      <c r="L67" s="439"/>
      <c r="M67" s="290"/>
    </row>
    <row r="68" spans="1:13" ht="12.75" customHeight="1">
      <c r="A68" s="82"/>
      <c r="B68" s="352">
        <v>75814</v>
      </c>
      <c r="C68" s="353"/>
      <c r="D68" s="354"/>
      <c r="E68" s="355" t="s">
        <v>20</v>
      </c>
      <c r="F68" s="356">
        <f>SUM(F69,)</f>
        <v>120000</v>
      </c>
      <c r="G68" s="356">
        <f>SUM(G69,)</f>
        <v>0</v>
      </c>
      <c r="H68" s="356">
        <f>SUM(H69:H70)</f>
        <v>220904</v>
      </c>
      <c r="I68" s="357">
        <f>SUM(I69:I70)</f>
        <v>242234.19</v>
      </c>
      <c r="J68" s="159">
        <f t="shared" si="1"/>
        <v>1.0965586408575672</v>
      </c>
      <c r="K68" s="237"/>
      <c r="L68" s="439"/>
      <c r="M68" s="290"/>
    </row>
    <row r="69" spans="1:13" ht="11.25" customHeight="1">
      <c r="A69" s="82"/>
      <c r="B69" s="35"/>
      <c r="C69" s="6"/>
      <c r="D69" s="65" t="s">
        <v>72</v>
      </c>
      <c r="E69" s="21" t="s">
        <v>21</v>
      </c>
      <c r="F69" s="27">
        <v>120000</v>
      </c>
      <c r="G69" s="27">
        <v>0</v>
      </c>
      <c r="H69" s="27">
        <v>120000</v>
      </c>
      <c r="I69" s="183">
        <v>151599.97</v>
      </c>
      <c r="J69" s="160">
        <f t="shared" si="1"/>
        <v>1.2633330833333334</v>
      </c>
      <c r="K69" s="237"/>
      <c r="L69" s="439"/>
      <c r="M69" s="290"/>
    </row>
    <row r="70" spans="1:13" ht="11.25" customHeight="1">
      <c r="A70" s="82"/>
      <c r="B70" s="35"/>
      <c r="C70" s="6"/>
      <c r="D70" s="65" t="s">
        <v>59</v>
      </c>
      <c r="E70" s="21" t="s">
        <v>6</v>
      </c>
      <c r="F70" s="27"/>
      <c r="G70" s="27"/>
      <c r="H70" s="27">
        <v>100904</v>
      </c>
      <c r="I70" s="149">
        <v>90634.22</v>
      </c>
      <c r="J70" s="160">
        <f t="shared" si="1"/>
        <v>0.898222270673115</v>
      </c>
      <c r="K70" s="237"/>
      <c r="L70" s="439"/>
      <c r="M70" s="290"/>
    </row>
    <row r="71" spans="1:13" ht="22.5">
      <c r="A71" s="73"/>
      <c r="B71" s="352">
        <v>75832</v>
      </c>
      <c r="C71" s="353"/>
      <c r="D71" s="354"/>
      <c r="E71" s="355" t="s">
        <v>56</v>
      </c>
      <c r="F71" s="419">
        <f>SUM(F72)</f>
        <v>1742641</v>
      </c>
      <c r="G71" s="419">
        <f>SUM(G72)</f>
        <v>0</v>
      </c>
      <c r="H71" s="419">
        <f>SUM(H72)</f>
        <v>1706395</v>
      </c>
      <c r="I71" s="420">
        <f>SUM(I72)</f>
        <v>1706395</v>
      </c>
      <c r="J71" s="159">
        <f t="shared" si="1"/>
        <v>1</v>
      </c>
      <c r="K71" s="237"/>
      <c r="L71" s="439"/>
      <c r="M71" s="290"/>
    </row>
    <row r="72" spans="1:13" ht="11.25" customHeight="1">
      <c r="A72" s="407"/>
      <c r="B72" s="263"/>
      <c r="C72" s="293"/>
      <c r="D72" s="421">
        <v>2920</v>
      </c>
      <c r="E72" s="291" t="s">
        <v>44</v>
      </c>
      <c r="F72" s="422">
        <v>1742641</v>
      </c>
      <c r="G72" s="422">
        <v>0</v>
      </c>
      <c r="H72" s="423">
        <v>1706395</v>
      </c>
      <c r="I72" s="424">
        <v>1706395</v>
      </c>
      <c r="J72" s="160">
        <f t="shared" si="1"/>
        <v>1</v>
      </c>
      <c r="K72" s="237"/>
      <c r="L72" s="439">
        <v>4</v>
      </c>
      <c r="M72" s="290"/>
    </row>
    <row r="73" spans="1:13" ht="12.75" customHeight="1">
      <c r="A73" s="276">
        <v>801</v>
      </c>
      <c r="B73" s="4"/>
      <c r="C73" s="4"/>
      <c r="D73" s="3"/>
      <c r="E73" s="22" t="s">
        <v>22</v>
      </c>
      <c r="F73" s="46">
        <f>SUM(F88,F86,F81,F78,F76,F74)</f>
        <v>70420</v>
      </c>
      <c r="G73" s="46">
        <f>SUM(G88,G86,G81,G78,G76,G74)</f>
        <v>0</v>
      </c>
      <c r="H73" s="288">
        <f>SUM(H74,H76,H78,H81,H86,H88,H90)</f>
        <v>214564</v>
      </c>
      <c r="I73" s="289">
        <f>SUM(I74,I76,I78,I81,I86,I88,I90)</f>
        <v>234751.84</v>
      </c>
      <c r="J73" s="50">
        <f t="shared" si="1"/>
        <v>1.0940877313994892</v>
      </c>
      <c r="K73" s="237"/>
      <c r="L73" s="439"/>
      <c r="M73" s="290"/>
    </row>
    <row r="74" spans="1:13" ht="12" customHeight="1">
      <c r="A74" s="277"/>
      <c r="B74" s="16">
        <v>80102</v>
      </c>
      <c r="C74" s="9"/>
      <c r="D74" s="11"/>
      <c r="E74" s="19" t="s">
        <v>23</v>
      </c>
      <c r="F74" s="28">
        <f>SUM(F75)</f>
        <v>100</v>
      </c>
      <c r="G74" s="28">
        <f>SUM(G75)</f>
        <v>0</v>
      </c>
      <c r="H74" s="47">
        <f>SUM(H75)</f>
        <v>4410</v>
      </c>
      <c r="I74" s="167">
        <f>SUM(I75)</f>
        <v>4386.68</v>
      </c>
      <c r="J74" s="159">
        <f t="shared" si="1"/>
        <v>0.9947120181405896</v>
      </c>
      <c r="K74" s="237"/>
      <c r="L74" s="439"/>
      <c r="M74" s="290"/>
    </row>
    <row r="75" spans="1:13" ht="11.25" customHeight="1">
      <c r="A75" s="102"/>
      <c r="B75" s="2"/>
      <c r="C75" s="6"/>
      <c r="D75" s="65" t="s">
        <v>59</v>
      </c>
      <c r="E75" s="21" t="s">
        <v>6</v>
      </c>
      <c r="F75" s="27">
        <v>100</v>
      </c>
      <c r="G75" s="27">
        <v>0</v>
      </c>
      <c r="H75" s="231">
        <v>4410</v>
      </c>
      <c r="I75" s="149">
        <v>4386.68</v>
      </c>
      <c r="J75" s="160">
        <f t="shared" si="1"/>
        <v>0.9947120181405896</v>
      </c>
      <c r="K75" s="237"/>
      <c r="L75" s="439"/>
      <c r="M75" s="290"/>
    </row>
    <row r="76" spans="1:13" ht="12" customHeight="1">
      <c r="A76" s="102"/>
      <c r="B76" s="16">
        <v>80111</v>
      </c>
      <c r="C76" s="9"/>
      <c r="D76" s="11"/>
      <c r="E76" s="19" t="s">
        <v>24</v>
      </c>
      <c r="F76" s="28">
        <f>SUM(F77)</f>
        <v>1500</v>
      </c>
      <c r="G76" s="28">
        <f>SUM(G77)</f>
        <v>0</v>
      </c>
      <c r="H76" s="47">
        <f>SUM(H77)</f>
        <v>500</v>
      </c>
      <c r="I76" s="167">
        <f>SUM(I77)</f>
        <v>200.34</v>
      </c>
      <c r="J76" s="159">
        <f t="shared" si="1"/>
        <v>0.40068</v>
      </c>
      <c r="K76" s="237"/>
      <c r="L76" s="439"/>
      <c r="M76" s="290"/>
    </row>
    <row r="77" spans="1:13" ht="11.25" customHeight="1">
      <c r="A77" s="102"/>
      <c r="B77" s="2"/>
      <c r="C77" s="6"/>
      <c r="D77" s="65" t="s">
        <v>59</v>
      </c>
      <c r="E77" s="21" t="s">
        <v>6</v>
      </c>
      <c r="F77" s="27">
        <v>1500</v>
      </c>
      <c r="G77" s="27">
        <v>0</v>
      </c>
      <c r="H77" s="231">
        <v>500</v>
      </c>
      <c r="I77" s="149">
        <v>200.34</v>
      </c>
      <c r="J77" s="160">
        <f t="shared" si="1"/>
        <v>0.40068</v>
      </c>
      <c r="K77" s="237"/>
      <c r="L77" s="439"/>
      <c r="M77" s="290"/>
    </row>
    <row r="78" spans="1:13" ht="12.75" customHeight="1">
      <c r="A78" s="102"/>
      <c r="B78" s="16">
        <v>80120</v>
      </c>
      <c r="C78" s="9"/>
      <c r="D78" s="11"/>
      <c r="E78" s="19" t="s">
        <v>25</v>
      </c>
      <c r="F78" s="28">
        <f>SUM(F79:F79)</f>
        <v>2100</v>
      </c>
      <c r="G78" s="28">
        <f>SUM(G79:G79)</f>
        <v>0</v>
      </c>
      <c r="H78" s="28">
        <f>SUM(H79:H80)</f>
        <v>16346</v>
      </c>
      <c r="I78" s="166">
        <f>SUM(I79:I80)</f>
        <v>15348.689999999999</v>
      </c>
      <c r="J78" s="159">
        <f t="shared" si="1"/>
        <v>0.93898751988254</v>
      </c>
      <c r="K78" s="237"/>
      <c r="L78" s="439"/>
      <c r="M78" s="290"/>
    </row>
    <row r="79" spans="1:13" ht="11.25" customHeight="1">
      <c r="A79" s="102"/>
      <c r="B79" s="331"/>
      <c r="C79" s="52"/>
      <c r="D79" s="103" t="s">
        <v>59</v>
      </c>
      <c r="E79" s="42" t="s">
        <v>6</v>
      </c>
      <c r="F79" s="53">
        <v>2100</v>
      </c>
      <c r="G79" s="53">
        <v>0</v>
      </c>
      <c r="H79" s="292">
        <v>4316</v>
      </c>
      <c r="I79" s="285">
        <v>4393.38</v>
      </c>
      <c r="J79" s="160">
        <f t="shared" si="1"/>
        <v>1.0179286376274328</v>
      </c>
      <c r="K79" s="237"/>
      <c r="L79" s="439"/>
      <c r="M79" s="290"/>
    </row>
    <row r="80" spans="1:13" ht="45.75" customHeight="1">
      <c r="A80" s="102"/>
      <c r="B80" s="2"/>
      <c r="C80" s="293"/>
      <c r="D80" s="294">
        <v>2700</v>
      </c>
      <c r="E80" s="291" t="s">
        <v>111</v>
      </c>
      <c r="F80" s="295"/>
      <c r="G80" s="295"/>
      <c r="H80" s="296">
        <v>12030</v>
      </c>
      <c r="I80" s="157">
        <v>10955.31</v>
      </c>
      <c r="J80" s="160">
        <f t="shared" si="1"/>
        <v>0.9106658354114713</v>
      </c>
      <c r="K80" s="237"/>
      <c r="L80" s="439"/>
      <c r="M80" s="290"/>
    </row>
    <row r="81" spans="1:13" ht="12.75" customHeight="1">
      <c r="A81" s="102"/>
      <c r="B81" s="16">
        <v>80130</v>
      </c>
      <c r="C81" s="9"/>
      <c r="D81" s="11"/>
      <c r="E81" s="19" t="s">
        <v>26</v>
      </c>
      <c r="F81" s="28">
        <f>SUM(F82:F84)</f>
        <v>10500</v>
      </c>
      <c r="G81" s="28">
        <f>SUM(G82:G84)</f>
        <v>0</v>
      </c>
      <c r="H81" s="28">
        <f>SUM(H82:H85)</f>
        <v>56610</v>
      </c>
      <c r="I81" s="166">
        <f>SUM(I82:I85)</f>
        <v>72310.79000000001</v>
      </c>
      <c r="J81" s="159">
        <f t="shared" si="1"/>
        <v>1.2773501148207032</v>
      </c>
      <c r="K81" s="237"/>
      <c r="L81" s="439"/>
      <c r="M81" s="290"/>
    </row>
    <row r="82" spans="1:13" ht="11.25" customHeight="1">
      <c r="A82" s="102"/>
      <c r="B82" s="331"/>
      <c r="C82" s="52"/>
      <c r="D82" s="103" t="s">
        <v>60</v>
      </c>
      <c r="E82" s="42" t="s">
        <v>28</v>
      </c>
      <c r="F82" s="53">
        <v>5000</v>
      </c>
      <c r="G82" s="53">
        <v>0</v>
      </c>
      <c r="H82" s="54">
        <v>5000</v>
      </c>
      <c r="I82" s="183">
        <v>6850.5</v>
      </c>
      <c r="J82" s="160">
        <f t="shared" si="1"/>
        <v>1.3701</v>
      </c>
      <c r="K82" s="237"/>
      <c r="L82" s="439"/>
      <c r="M82" s="290"/>
    </row>
    <row r="83" spans="1:13" ht="10.5" customHeight="1">
      <c r="A83" s="102"/>
      <c r="B83" s="2"/>
      <c r="C83" s="338"/>
      <c r="D83" s="65" t="s">
        <v>62</v>
      </c>
      <c r="E83" s="339" t="s">
        <v>90</v>
      </c>
      <c r="F83" s="340"/>
      <c r="G83" s="340"/>
      <c r="H83" s="203">
        <v>2000</v>
      </c>
      <c r="I83" s="216">
        <v>1768.75</v>
      </c>
      <c r="J83" s="229">
        <f t="shared" si="1"/>
        <v>0.884375</v>
      </c>
      <c r="K83" s="261"/>
      <c r="L83" s="439"/>
      <c r="M83" s="290"/>
    </row>
    <row r="84" spans="1:13" ht="10.5" customHeight="1">
      <c r="A84" s="102"/>
      <c r="B84" s="2"/>
      <c r="C84" s="6"/>
      <c r="D84" s="65" t="s">
        <v>59</v>
      </c>
      <c r="E84" s="21" t="s">
        <v>6</v>
      </c>
      <c r="F84" s="27">
        <v>5500</v>
      </c>
      <c r="G84" s="27">
        <v>0</v>
      </c>
      <c r="H84" s="37">
        <v>10300</v>
      </c>
      <c r="I84" s="182">
        <v>24381.54</v>
      </c>
      <c r="J84" s="160">
        <f t="shared" si="1"/>
        <v>2.367139805825243</v>
      </c>
      <c r="K84" s="237"/>
      <c r="L84" s="439"/>
      <c r="M84" s="290"/>
    </row>
    <row r="85" spans="1:13" ht="50.25" customHeight="1">
      <c r="A85" s="102"/>
      <c r="B85" s="2"/>
      <c r="C85" s="6"/>
      <c r="D85" s="65">
        <v>2700</v>
      </c>
      <c r="E85" s="21" t="s">
        <v>111</v>
      </c>
      <c r="F85" s="27"/>
      <c r="G85" s="27"/>
      <c r="H85" s="27">
        <v>39310</v>
      </c>
      <c r="I85" s="386">
        <v>39310</v>
      </c>
      <c r="J85" s="160">
        <f t="shared" si="1"/>
        <v>1</v>
      </c>
      <c r="K85" s="237"/>
      <c r="L85" s="439"/>
      <c r="M85" s="290"/>
    </row>
    <row r="86" spans="1:13" ht="12" customHeight="1">
      <c r="A86" s="102"/>
      <c r="B86" s="16">
        <v>80134</v>
      </c>
      <c r="C86" s="9"/>
      <c r="D86" s="11"/>
      <c r="E86" s="19" t="s">
        <v>54</v>
      </c>
      <c r="F86" s="28">
        <f>+F87</f>
        <v>20</v>
      </c>
      <c r="G86" s="28">
        <f>+G87</f>
        <v>0</v>
      </c>
      <c r="H86" s="47">
        <f>+H87</f>
        <v>720</v>
      </c>
      <c r="I86" s="167">
        <f>+I87</f>
        <v>764.43</v>
      </c>
      <c r="J86" s="159">
        <f t="shared" si="1"/>
        <v>1.0617083333333333</v>
      </c>
      <c r="K86" s="237"/>
      <c r="L86" s="439"/>
      <c r="M86" s="290"/>
    </row>
    <row r="87" spans="1:13" ht="10.5" customHeight="1">
      <c r="A87" s="102"/>
      <c r="B87" s="2"/>
      <c r="C87" s="6"/>
      <c r="D87" s="65" t="s">
        <v>59</v>
      </c>
      <c r="E87" s="21" t="s">
        <v>6</v>
      </c>
      <c r="F87" s="27">
        <v>20</v>
      </c>
      <c r="G87" s="27">
        <v>0</v>
      </c>
      <c r="H87" s="37">
        <v>720</v>
      </c>
      <c r="I87" s="186">
        <v>764.43</v>
      </c>
      <c r="J87" s="160">
        <f aca="true" t="shared" si="2" ref="J87:J145">I87/H87</f>
        <v>1.0617083333333333</v>
      </c>
      <c r="K87" s="237"/>
      <c r="L87" s="439"/>
      <c r="M87" s="290"/>
    </row>
    <row r="88" spans="1:13" ht="33.75" customHeight="1">
      <c r="A88" s="102"/>
      <c r="B88" s="16">
        <v>80140</v>
      </c>
      <c r="C88" s="9"/>
      <c r="D88" s="11"/>
      <c r="E88" s="19" t="s">
        <v>99</v>
      </c>
      <c r="F88" s="28">
        <f>SUM(F89:F89)</f>
        <v>56200</v>
      </c>
      <c r="G88" s="28">
        <f>SUM(G89:G89)</f>
        <v>0</v>
      </c>
      <c r="H88" s="28">
        <f>SUM(H89:H89)</f>
        <v>50600</v>
      </c>
      <c r="I88" s="166">
        <f>SUM(I89:I89)</f>
        <v>56362.95</v>
      </c>
      <c r="J88" s="159">
        <f t="shared" si="2"/>
        <v>1.1138922924901185</v>
      </c>
      <c r="K88" s="237"/>
      <c r="L88" s="439"/>
      <c r="M88" s="290"/>
    </row>
    <row r="89" spans="1:13" ht="11.25" customHeight="1">
      <c r="A89" s="102"/>
      <c r="B89" s="142"/>
      <c r="C89" s="6"/>
      <c r="D89" s="65" t="s">
        <v>60</v>
      </c>
      <c r="E89" s="21" t="s">
        <v>28</v>
      </c>
      <c r="F89" s="27">
        <v>56200</v>
      </c>
      <c r="G89" s="27">
        <v>0</v>
      </c>
      <c r="H89" s="37">
        <v>50600</v>
      </c>
      <c r="I89" s="186">
        <v>56362.95</v>
      </c>
      <c r="J89" s="160">
        <f t="shared" si="2"/>
        <v>1.1138922924901185</v>
      </c>
      <c r="K89" s="237"/>
      <c r="L89" s="439"/>
      <c r="M89" s="290"/>
    </row>
    <row r="90" spans="1:14" ht="12.75">
      <c r="A90" s="102"/>
      <c r="B90" s="16">
        <v>80195</v>
      </c>
      <c r="C90" s="9"/>
      <c r="D90" s="11"/>
      <c r="E90" s="19" t="s">
        <v>112</v>
      </c>
      <c r="F90" s="28">
        <f>+F91</f>
        <v>20</v>
      </c>
      <c r="G90" s="28">
        <f>+G91</f>
        <v>0</v>
      </c>
      <c r="H90" s="47">
        <f>+H91+H92</f>
        <v>85378</v>
      </c>
      <c r="I90" s="167">
        <f>+I91+I92</f>
        <v>85377.95999999999</v>
      </c>
      <c r="J90" s="159">
        <f t="shared" si="2"/>
        <v>0.9999995314952329</v>
      </c>
      <c r="K90" s="237"/>
      <c r="L90" s="439"/>
      <c r="M90" s="290"/>
      <c r="N90" t="s">
        <v>113</v>
      </c>
    </row>
    <row r="91" spans="1:13" ht="33.75" customHeight="1">
      <c r="A91" s="102"/>
      <c r="B91" s="2"/>
      <c r="C91" s="6"/>
      <c r="D91" s="65">
        <v>2130</v>
      </c>
      <c r="E91" s="21" t="s">
        <v>115</v>
      </c>
      <c r="F91" s="27">
        <v>20</v>
      </c>
      <c r="G91" s="27">
        <v>0</v>
      </c>
      <c r="H91" s="37">
        <v>23778</v>
      </c>
      <c r="I91" s="186">
        <v>23778</v>
      </c>
      <c r="J91" s="160">
        <f>I91/H91</f>
        <v>1</v>
      </c>
      <c r="K91" s="237"/>
      <c r="L91" s="439"/>
      <c r="M91" s="290"/>
    </row>
    <row r="92" spans="1:13" ht="36" customHeight="1">
      <c r="A92" s="102"/>
      <c r="B92" s="2"/>
      <c r="C92" s="1"/>
      <c r="D92" s="158">
        <v>6430</v>
      </c>
      <c r="E92" s="20" t="s">
        <v>141</v>
      </c>
      <c r="F92" s="26"/>
      <c r="G92" s="26"/>
      <c r="H92" s="33">
        <v>61600</v>
      </c>
      <c r="I92" s="387">
        <v>61599.96</v>
      </c>
      <c r="J92" s="160">
        <v>0.9999</v>
      </c>
      <c r="K92" s="237"/>
      <c r="L92" s="439"/>
      <c r="M92" s="290"/>
    </row>
    <row r="93" spans="1:13" ht="12.75" customHeight="1">
      <c r="A93" s="109">
        <v>851</v>
      </c>
      <c r="B93" s="389"/>
      <c r="C93" s="390"/>
      <c r="D93" s="390"/>
      <c r="E93" s="391" t="s">
        <v>27</v>
      </c>
      <c r="F93" s="376">
        <f>SUM(F96)</f>
        <v>0</v>
      </c>
      <c r="G93" s="376">
        <f>SUM(G96)</f>
        <v>738252</v>
      </c>
      <c r="H93" s="376">
        <f>SUM(H94,H96)</f>
        <v>1023146</v>
      </c>
      <c r="I93" s="377">
        <f>SUM(I94,I96)</f>
        <v>1021035.4</v>
      </c>
      <c r="J93" s="50">
        <f t="shared" si="2"/>
        <v>0.9979371468001634</v>
      </c>
      <c r="K93" s="237"/>
      <c r="L93" s="439"/>
      <c r="M93" s="290"/>
    </row>
    <row r="94" spans="1:13" ht="12.75" customHeight="1">
      <c r="A94" s="82"/>
      <c r="B94" s="221">
        <v>85154</v>
      </c>
      <c r="C94" s="224"/>
      <c r="D94" s="388"/>
      <c r="E94" s="222" t="s">
        <v>127</v>
      </c>
      <c r="F94" s="208">
        <f>SUM(F95)</f>
        <v>0</v>
      </c>
      <c r="G94" s="83">
        <f>SUM(G95)</f>
        <v>738252</v>
      </c>
      <c r="H94" s="84">
        <f>SUM(H95)</f>
        <v>55000</v>
      </c>
      <c r="I94" s="168">
        <f>SUM(I95)</f>
        <v>55000</v>
      </c>
      <c r="J94" s="223">
        <f>I94/H94</f>
        <v>1</v>
      </c>
      <c r="K94" s="261"/>
      <c r="L94" s="439"/>
      <c r="M94" s="290"/>
    </row>
    <row r="95" spans="1:13" ht="45.75" customHeight="1">
      <c r="A95" s="82"/>
      <c r="B95" s="80"/>
      <c r="C95" s="108"/>
      <c r="D95" s="110">
        <v>6300</v>
      </c>
      <c r="E95" s="228" t="s">
        <v>103</v>
      </c>
      <c r="F95" s="53">
        <v>0</v>
      </c>
      <c r="G95" s="54">
        <v>738252</v>
      </c>
      <c r="H95" s="44">
        <v>55000</v>
      </c>
      <c r="I95" s="152">
        <v>55000</v>
      </c>
      <c r="J95" s="160">
        <f>I95/H95</f>
        <v>1</v>
      </c>
      <c r="K95" s="261"/>
      <c r="L95" s="439"/>
      <c r="M95" s="290"/>
    </row>
    <row r="96" spans="1:13" ht="33.75" customHeight="1">
      <c r="A96" s="82"/>
      <c r="B96" s="221">
        <v>85156</v>
      </c>
      <c r="C96" s="224"/>
      <c r="D96" s="206"/>
      <c r="E96" s="222" t="s">
        <v>50</v>
      </c>
      <c r="F96" s="208">
        <f>SUM(F97)</f>
        <v>0</v>
      </c>
      <c r="G96" s="83">
        <f>SUM(G97)</f>
        <v>738252</v>
      </c>
      <c r="H96" s="84">
        <f>SUM(H97)</f>
        <v>968146</v>
      </c>
      <c r="I96" s="168">
        <f>SUM(I97)</f>
        <v>966035.4</v>
      </c>
      <c r="J96" s="223">
        <v>0.9999</v>
      </c>
      <c r="K96" s="237"/>
      <c r="L96" s="439"/>
      <c r="M96" s="290"/>
    </row>
    <row r="97" spans="1:13" ht="45.75" customHeight="1">
      <c r="A97" s="73"/>
      <c r="B97" s="80"/>
      <c r="C97" s="108"/>
      <c r="D97" s="110">
        <v>2110</v>
      </c>
      <c r="E97" s="111" t="s">
        <v>34</v>
      </c>
      <c r="F97" s="53">
        <v>0</v>
      </c>
      <c r="G97" s="54">
        <v>738252</v>
      </c>
      <c r="H97" s="44">
        <v>968146</v>
      </c>
      <c r="I97" s="152">
        <v>966035.4</v>
      </c>
      <c r="J97" s="160">
        <v>0.9999</v>
      </c>
      <c r="K97" s="237"/>
      <c r="L97" s="439"/>
      <c r="M97" s="290"/>
    </row>
    <row r="98" spans="1:13" ht="12.75" customHeight="1">
      <c r="A98" s="318">
        <v>852</v>
      </c>
      <c r="B98" s="319"/>
      <c r="C98" s="319"/>
      <c r="D98" s="320"/>
      <c r="E98" s="321" t="s">
        <v>52</v>
      </c>
      <c r="F98" s="322">
        <f>SUM(F99,F106,F112,F116,F118)</f>
        <v>7382940</v>
      </c>
      <c r="G98" s="322">
        <f>SUM(G99,G106,G112,G116,G118)</f>
        <v>241200</v>
      </c>
      <c r="H98" s="322">
        <f>SUM(H99,H106,H112,H116,H118,H122)</f>
        <v>11595098</v>
      </c>
      <c r="I98" s="323">
        <f>SUM(I99,I106,I112,I116,I118,I122)</f>
        <v>11673908.14</v>
      </c>
      <c r="J98" s="50">
        <f t="shared" si="2"/>
        <v>1.0067968498412</v>
      </c>
      <c r="K98" s="237"/>
      <c r="L98" s="439"/>
      <c r="M98" s="290"/>
    </row>
    <row r="99" spans="1:13" ht="12.75" customHeight="1">
      <c r="A99" s="407"/>
      <c r="B99" s="352">
        <v>85201</v>
      </c>
      <c r="C99" s="353"/>
      <c r="D99" s="354"/>
      <c r="E99" s="355" t="s">
        <v>49</v>
      </c>
      <c r="F99" s="356">
        <f>SUM(F100:F105)</f>
        <v>539000</v>
      </c>
      <c r="G99" s="356">
        <f>SUM(G100:G105)</f>
        <v>0</v>
      </c>
      <c r="H99" s="356">
        <f>SUM(H100:H105)</f>
        <v>687619</v>
      </c>
      <c r="I99" s="357">
        <f>SUM(I100:I105)</f>
        <v>693578.3200000001</v>
      </c>
      <c r="J99" s="159">
        <f t="shared" si="2"/>
        <v>1.0086666017082135</v>
      </c>
      <c r="K99" s="237"/>
      <c r="L99" s="439"/>
      <c r="M99" s="290"/>
    </row>
    <row r="100" spans="1:13" ht="38.25" customHeight="1">
      <c r="A100" s="81"/>
      <c r="B100" s="263"/>
      <c r="C100" s="293"/>
      <c r="D100" s="294" t="s">
        <v>94</v>
      </c>
      <c r="E100" s="291" t="s">
        <v>120</v>
      </c>
      <c r="F100" s="295">
        <v>2000</v>
      </c>
      <c r="G100" s="295">
        <v>0</v>
      </c>
      <c r="H100" s="266">
        <v>24000</v>
      </c>
      <c r="I100" s="157">
        <v>25444</v>
      </c>
      <c r="J100" s="160">
        <f t="shared" si="2"/>
        <v>1.0601666666666667</v>
      </c>
      <c r="K100" s="237"/>
      <c r="L100" s="439">
        <v>5</v>
      </c>
      <c r="M100" s="290"/>
    </row>
    <row r="101" spans="1:13" ht="11.25" customHeight="1">
      <c r="A101" s="82"/>
      <c r="B101" s="35"/>
      <c r="C101" s="6"/>
      <c r="D101" s="65" t="s">
        <v>60</v>
      </c>
      <c r="E101" s="21" t="s">
        <v>28</v>
      </c>
      <c r="F101" s="27">
        <v>1000</v>
      </c>
      <c r="G101" s="27">
        <v>0</v>
      </c>
      <c r="H101" s="33">
        <v>1000</v>
      </c>
      <c r="I101" s="157">
        <v>327.67</v>
      </c>
      <c r="J101" s="160">
        <f t="shared" si="2"/>
        <v>0.32767</v>
      </c>
      <c r="K101" s="237"/>
      <c r="L101" s="439"/>
      <c r="M101" s="290"/>
    </row>
    <row r="102" spans="1:13" ht="11.25" customHeight="1">
      <c r="A102" s="82"/>
      <c r="B102" s="35"/>
      <c r="C102" s="6"/>
      <c r="D102" s="65" t="s">
        <v>62</v>
      </c>
      <c r="E102" s="21" t="s">
        <v>90</v>
      </c>
      <c r="F102" s="27">
        <v>8000</v>
      </c>
      <c r="G102" s="27">
        <v>0</v>
      </c>
      <c r="H102" s="33">
        <v>1315</v>
      </c>
      <c r="I102" s="157">
        <v>1315</v>
      </c>
      <c r="J102" s="160">
        <f t="shared" si="2"/>
        <v>1</v>
      </c>
      <c r="K102" s="237"/>
      <c r="L102" s="439"/>
      <c r="M102" s="290"/>
    </row>
    <row r="103" spans="1:13" ht="11.25" customHeight="1">
      <c r="A103" s="82"/>
      <c r="B103" s="35"/>
      <c r="C103" s="1"/>
      <c r="D103" s="65" t="s">
        <v>59</v>
      </c>
      <c r="E103" s="21" t="s">
        <v>6</v>
      </c>
      <c r="F103" s="26"/>
      <c r="G103" s="26"/>
      <c r="H103" s="33">
        <v>55700</v>
      </c>
      <c r="I103" s="157">
        <v>81543.65</v>
      </c>
      <c r="J103" s="160">
        <f t="shared" si="2"/>
        <v>1.4639793536804309</v>
      </c>
      <c r="K103" s="237"/>
      <c r="L103" s="439"/>
      <c r="M103" s="290"/>
    </row>
    <row r="104" spans="1:13" ht="35.25" customHeight="1">
      <c r="A104" s="82"/>
      <c r="B104" s="35"/>
      <c r="C104" s="1"/>
      <c r="D104" s="158">
        <v>2130</v>
      </c>
      <c r="E104" s="20" t="s">
        <v>47</v>
      </c>
      <c r="F104" s="26"/>
      <c r="G104" s="26"/>
      <c r="H104" s="33">
        <v>119300</v>
      </c>
      <c r="I104" s="157">
        <v>119300</v>
      </c>
      <c r="J104" s="160">
        <f t="shared" si="2"/>
        <v>1</v>
      </c>
      <c r="K104" s="237"/>
      <c r="L104" s="439"/>
      <c r="M104" s="290"/>
    </row>
    <row r="105" spans="1:13" ht="45" customHeight="1">
      <c r="A105" s="82"/>
      <c r="B105" s="35"/>
      <c r="C105" s="1"/>
      <c r="D105" s="15">
        <v>2320</v>
      </c>
      <c r="E105" s="20" t="s">
        <v>93</v>
      </c>
      <c r="F105" s="26">
        <v>528000</v>
      </c>
      <c r="G105" s="26">
        <v>0</v>
      </c>
      <c r="H105" s="292">
        <v>486304</v>
      </c>
      <c r="I105" s="157">
        <v>465648</v>
      </c>
      <c r="J105" s="160">
        <f t="shared" si="2"/>
        <v>0.957524511416727</v>
      </c>
      <c r="K105" s="237"/>
      <c r="L105" s="439"/>
      <c r="M105" s="290"/>
    </row>
    <row r="106" spans="1:13" ht="12.75" customHeight="1">
      <c r="A106" s="82"/>
      <c r="B106" s="89">
        <v>85202</v>
      </c>
      <c r="C106" s="9"/>
      <c r="D106" s="11"/>
      <c r="E106" s="19" t="s">
        <v>29</v>
      </c>
      <c r="F106" s="28">
        <f>SUM(F107:F110)</f>
        <v>6789450</v>
      </c>
      <c r="G106" s="28">
        <f>SUM(G107:G110)</f>
        <v>0</v>
      </c>
      <c r="H106" s="189">
        <f>SUM(H107:H111)</f>
        <v>9692886</v>
      </c>
      <c r="I106" s="198">
        <f>SUM(I107:I111)</f>
        <v>9739780.24</v>
      </c>
      <c r="J106" s="159">
        <f t="shared" si="2"/>
        <v>1.004838005935487</v>
      </c>
      <c r="K106" s="237"/>
      <c r="L106" s="439"/>
      <c r="M106" s="290"/>
    </row>
    <row r="107" spans="1:13" ht="11.25" customHeight="1">
      <c r="A107" s="82"/>
      <c r="B107" s="35"/>
      <c r="C107" s="52"/>
      <c r="D107" s="103" t="s">
        <v>60</v>
      </c>
      <c r="E107" s="42" t="s">
        <v>28</v>
      </c>
      <c r="F107" s="53">
        <v>1797900</v>
      </c>
      <c r="G107" s="53">
        <v>0</v>
      </c>
      <c r="H107" s="54">
        <v>3561200</v>
      </c>
      <c r="I107" s="157">
        <v>3611354.91</v>
      </c>
      <c r="J107" s="160">
        <f t="shared" si="2"/>
        <v>1.0140837105470066</v>
      </c>
      <c r="K107" s="237"/>
      <c r="L107" s="439"/>
      <c r="M107" s="290"/>
    </row>
    <row r="108" spans="1:13" ht="11.25" customHeight="1">
      <c r="A108" s="82"/>
      <c r="B108" s="351"/>
      <c r="C108" s="2"/>
      <c r="D108" s="281" t="s">
        <v>62</v>
      </c>
      <c r="E108" s="364" t="s">
        <v>90</v>
      </c>
      <c r="F108" s="365"/>
      <c r="G108" s="365"/>
      <c r="H108" s="366"/>
      <c r="I108" s="157">
        <v>67.1</v>
      </c>
      <c r="J108" s="160" t="e">
        <f t="shared" si="2"/>
        <v>#DIV/0!</v>
      </c>
      <c r="K108" s="237"/>
      <c r="L108" s="439"/>
      <c r="M108" s="290"/>
    </row>
    <row r="109" spans="1:13" ht="11.25" customHeight="1">
      <c r="A109" s="82"/>
      <c r="B109" s="333"/>
      <c r="C109" s="52"/>
      <c r="D109" s="103" t="s">
        <v>59</v>
      </c>
      <c r="E109" s="42" t="s">
        <v>6</v>
      </c>
      <c r="F109" s="53">
        <f>2200+350</f>
        <v>2550</v>
      </c>
      <c r="G109" s="53">
        <v>0</v>
      </c>
      <c r="H109" s="54">
        <v>4730</v>
      </c>
      <c r="I109" s="157">
        <v>13856.23</v>
      </c>
      <c r="J109" s="160">
        <f t="shared" si="2"/>
        <v>2.9294355179704015</v>
      </c>
      <c r="K109" s="237"/>
      <c r="L109" s="439"/>
      <c r="M109" s="290"/>
    </row>
    <row r="110" spans="1:13" ht="35.25" customHeight="1">
      <c r="A110" s="82"/>
      <c r="B110" s="74"/>
      <c r="C110" s="341"/>
      <c r="D110" s="116">
        <v>2130</v>
      </c>
      <c r="E110" s="117" t="s">
        <v>47</v>
      </c>
      <c r="F110" s="118">
        <v>4989000</v>
      </c>
      <c r="G110" s="118">
        <v>0</v>
      </c>
      <c r="H110" s="119">
        <v>5996956</v>
      </c>
      <c r="I110" s="157">
        <v>5996956</v>
      </c>
      <c r="J110" s="160">
        <f t="shared" si="2"/>
        <v>1</v>
      </c>
      <c r="K110" s="237"/>
      <c r="L110" s="439"/>
      <c r="M110" s="290"/>
    </row>
    <row r="111" spans="1:13" ht="56.25">
      <c r="A111" s="82"/>
      <c r="B111" s="35"/>
      <c r="C111" s="278"/>
      <c r="D111" s="264">
        <v>6260</v>
      </c>
      <c r="E111" s="265" t="s">
        <v>137</v>
      </c>
      <c r="F111" s="279"/>
      <c r="G111" s="279"/>
      <c r="H111" s="118">
        <v>130000</v>
      </c>
      <c r="I111" s="392">
        <v>117546</v>
      </c>
      <c r="J111" s="160">
        <f t="shared" si="2"/>
        <v>0.9042</v>
      </c>
      <c r="K111" s="237"/>
      <c r="L111" s="439"/>
      <c r="M111" s="290"/>
    </row>
    <row r="112" spans="1:13" ht="12.75">
      <c r="A112" s="82"/>
      <c r="B112" s="375">
        <v>85203</v>
      </c>
      <c r="C112" s="328"/>
      <c r="D112" s="324"/>
      <c r="E112" s="325" t="s">
        <v>95</v>
      </c>
      <c r="F112" s="329">
        <f>SUM(F113:F114)</f>
        <v>150</v>
      </c>
      <c r="G112" s="329">
        <f>SUM(G113:G114)</f>
        <v>241200</v>
      </c>
      <c r="H112" s="329">
        <f>SUM(H113:H115)</f>
        <v>1011393</v>
      </c>
      <c r="I112" s="275">
        <f>SUM(I113:I115)</f>
        <v>1009925.08</v>
      </c>
      <c r="J112" s="159">
        <f t="shared" si="2"/>
        <v>0.9985486156222161</v>
      </c>
      <c r="K112" s="237"/>
      <c r="L112" s="439"/>
      <c r="M112" s="290"/>
    </row>
    <row r="113" spans="1:13" ht="46.5" customHeight="1">
      <c r="A113" s="82"/>
      <c r="B113" s="90"/>
      <c r="C113" s="32"/>
      <c r="D113" s="41">
        <v>2110</v>
      </c>
      <c r="E113" s="42" t="s">
        <v>34</v>
      </c>
      <c r="F113" s="26">
        <v>0</v>
      </c>
      <c r="G113" s="26">
        <v>241200</v>
      </c>
      <c r="H113" s="53">
        <v>881243</v>
      </c>
      <c r="I113" s="149">
        <v>881215.08</v>
      </c>
      <c r="J113" s="160">
        <f t="shared" si="2"/>
        <v>0.9999683174788339</v>
      </c>
      <c r="K113" s="237"/>
      <c r="L113" s="439"/>
      <c r="M113" s="290"/>
    </row>
    <row r="114" spans="1:13" ht="45" customHeight="1">
      <c r="A114" s="82"/>
      <c r="B114" s="90"/>
      <c r="C114" s="32"/>
      <c r="D114" s="15">
        <v>2360</v>
      </c>
      <c r="E114" s="20" t="s">
        <v>37</v>
      </c>
      <c r="F114" s="70">
        <f>500-350</f>
        <v>150</v>
      </c>
      <c r="G114" s="71">
        <v>0</v>
      </c>
      <c r="H114" s="72">
        <v>150</v>
      </c>
      <c r="I114" s="154">
        <v>0</v>
      </c>
      <c r="J114" s="160">
        <f t="shared" si="2"/>
        <v>0</v>
      </c>
      <c r="K114" s="237"/>
      <c r="L114" s="439"/>
      <c r="M114" s="290"/>
    </row>
    <row r="115" spans="1:13" ht="45.75" customHeight="1">
      <c r="A115" s="82"/>
      <c r="B115" s="90"/>
      <c r="C115" s="32"/>
      <c r="D115" s="15">
        <v>6410</v>
      </c>
      <c r="E115" s="20" t="s">
        <v>106</v>
      </c>
      <c r="F115" s="70"/>
      <c r="G115" s="71"/>
      <c r="H115" s="342">
        <v>130000</v>
      </c>
      <c r="I115" s="343">
        <v>128710</v>
      </c>
      <c r="J115" s="160">
        <f t="shared" si="2"/>
        <v>0.9900769230769231</v>
      </c>
      <c r="K115" s="237"/>
      <c r="L115" s="439"/>
      <c r="M115" s="290"/>
    </row>
    <row r="116" spans="1:13" ht="12.75" customHeight="1">
      <c r="A116" s="82"/>
      <c r="B116" s="89">
        <v>85204</v>
      </c>
      <c r="C116" s="9"/>
      <c r="D116" s="11"/>
      <c r="E116" s="19" t="s">
        <v>30</v>
      </c>
      <c r="F116" s="28">
        <f>SUM(F117:F117)</f>
        <v>51200</v>
      </c>
      <c r="G116" s="28">
        <f>SUM(G117:G117)</f>
        <v>0</v>
      </c>
      <c r="H116" s="28">
        <f>SUM(H117:H117)</f>
        <v>172000</v>
      </c>
      <c r="I116" s="166">
        <f>SUM(I117:I117)</f>
        <v>196455.5</v>
      </c>
      <c r="J116" s="159">
        <f t="shared" si="2"/>
        <v>1.1421831395348838</v>
      </c>
      <c r="K116" s="237"/>
      <c r="L116" s="439"/>
      <c r="M116" s="290"/>
    </row>
    <row r="117" spans="1:13" ht="45">
      <c r="A117" s="82"/>
      <c r="B117" s="90"/>
      <c r="C117" s="32"/>
      <c r="D117" s="41">
        <v>2320</v>
      </c>
      <c r="E117" s="42" t="s">
        <v>93</v>
      </c>
      <c r="F117" s="53">
        <v>51200</v>
      </c>
      <c r="G117" s="53">
        <v>0</v>
      </c>
      <c r="H117" s="54">
        <v>172000</v>
      </c>
      <c r="I117" s="183">
        <v>196455.5</v>
      </c>
      <c r="J117" s="160">
        <f t="shared" si="2"/>
        <v>1.1421831395348838</v>
      </c>
      <c r="K117" s="237"/>
      <c r="L117" s="439"/>
      <c r="M117" s="290"/>
    </row>
    <row r="118" spans="1:13" ht="12.75" customHeight="1">
      <c r="A118" s="82"/>
      <c r="B118" s="101">
        <v>85218</v>
      </c>
      <c r="C118" s="77"/>
      <c r="D118" s="77"/>
      <c r="E118" s="100" t="s">
        <v>31</v>
      </c>
      <c r="F118" s="79">
        <f>SUM(F119:F120)</f>
        <v>3140</v>
      </c>
      <c r="G118" s="79">
        <f>SUM(G119:G120)</f>
        <v>0</v>
      </c>
      <c r="H118" s="79">
        <f>SUM(H119:H121)</f>
        <v>15200</v>
      </c>
      <c r="I118" s="164">
        <f>SUM(I119:I121)</f>
        <v>18169</v>
      </c>
      <c r="J118" s="159">
        <f t="shared" si="2"/>
        <v>1.195328947368421</v>
      </c>
      <c r="K118" s="237"/>
      <c r="L118" s="439"/>
      <c r="M118" s="290"/>
    </row>
    <row r="119" spans="1:13" ht="11.25" customHeight="1">
      <c r="A119" s="82"/>
      <c r="B119" s="92"/>
      <c r="C119" s="85"/>
      <c r="D119" s="65" t="s">
        <v>61</v>
      </c>
      <c r="E119" s="21" t="s">
        <v>11</v>
      </c>
      <c r="F119" s="27">
        <v>3000</v>
      </c>
      <c r="G119" s="27">
        <v>0</v>
      </c>
      <c r="H119" s="33">
        <v>4500</v>
      </c>
      <c r="I119" s="186">
        <v>7275</v>
      </c>
      <c r="J119" s="160">
        <f t="shared" si="2"/>
        <v>1.6166666666666667</v>
      </c>
      <c r="K119" s="237"/>
      <c r="L119" s="439"/>
      <c r="M119" s="290"/>
    </row>
    <row r="120" spans="1:13" ht="11.25" customHeight="1">
      <c r="A120" s="82"/>
      <c r="B120" s="107"/>
      <c r="C120" s="86"/>
      <c r="D120" s="103" t="s">
        <v>59</v>
      </c>
      <c r="E120" s="42" t="s">
        <v>6</v>
      </c>
      <c r="F120" s="53">
        <v>140</v>
      </c>
      <c r="G120" s="53">
        <v>0</v>
      </c>
      <c r="H120" s="54">
        <v>200</v>
      </c>
      <c r="I120" s="183">
        <v>394</v>
      </c>
      <c r="J120" s="160">
        <f t="shared" si="2"/>
        <v>1.97</v>
      </c>
      <c r="K120" s="237"/>
      <c r="L120" s="439"/>
      <c r="M120" s="290"/>
    </row>
    <row r="121" spans="1:13" ht="33.75">
      <c r="A121" s="74"/>
      <c r="B121" s="407"/>
      <c r="C121" s="80"/>
      <c r="D121" s="425">
        <v>2130</v>
      </c>
      <c r="E121" s="111" t="s">
        <v>47</v>
      </c>
      <c r="F121" s="75"/>
      <c r="G121" s="75"/>
      <c r="H121" s="305">
        <v>10500</v>
      </c>
      <c r="I121" s="426">
        <v>10500</v>
      </c>
      <c r="J121" s="160">
        <f t="shared" si="2"/>
        <v>1</v>
      </c>
      <c r="K121" s="237"/>
      <c r="L121" s="439"/>
      <c r="M121" s="290"/>
    </row>
    <row r="122" spans="1:13" ht="36.75" customHeight="1">
      <c r="A122" s="417"/>
      <c r="B122" s="286">
        <v>85220</v>
      </c>
      <c r="C122" s="324"/>
      <c r="D122" s="324"/>
      <c r="E122" s="325" t="s">
        <v>114</v>
      </c>
      <c r="F122" s="326">
        <f>SUM(F123:F125)</f>
        <v>32700</v>
      </c>
      <c r="G122" s="326">
        <f>SUM(G123:G125)</f>
        <v>187000</v>
      </c>
      <c r="H122" s="326">
        <f>SUM(H123)</f>
        <v>16000</v>
      </c>
      <c r="I122" s="327">
        <f>SUM(I123)</f>
        <v>16000</v>
      </c>
      <c r="J122" s="159">
        <f>I122/H122</f>
        <v>1</v>
      </c>
      <c r="K122" s="237"/>
      <c r="L122" s="436">
        <v>6</v>
      </c>
      <c r="M122" s="290"/>
    </row>
    <row r="123" spans="1:13" ht="32.25" customHeight="1">
      <c r="A123" s="73"/>
      <c r="B123" s="287"/>
      <c r="C123" s="85"/>
      <c r="D123" s="65">
        <v>2130</v>
      </c>
      <c r="E123" s="21" t="s">
        <v>115</v>
      </c>
      <c r="F123" s="27">
        <v>3000</v>
      </c>
      <c r="G123" s="27">
        <v>0</v>
      </c>
      <c r="H123" s="33">
        <v>16000</v>
      </c>
      <c r="I123" s="186">
        <v>16000</v>
      </c>
      <c r="J123" s="160">
        <f>I123/H123</f>
        <v>1</v>
      </c>
      <c r="K123" s="237"/>
      <c r="L123" s="436"/>
      <c r="M123" s="290"/>
    </row>
    <row r="124" spans="1:13" ht="23.25" customHeight="1">
      <c r="A124" s="259">
        <v>853</v>
      </c>
      <c r="B124" s="5"/>
      <c r="C124" s="5"/>
      <c r="D124" s="7"/>
      <c r="E124" s="55" t="s">
        <v>53</v>
      </c>
      <c r="F124" s="24">
        <f>SUM(F125,F129,F132)</f>
        <v>29700</v>
      </c>
      <c r="G124" s="24">
        <f>SUM(G125,G129,G132)</f>
        <v>93500</v>
      </c>
      <c r="H124" s="24">
        <f>SUM(H125,H127,H129,H132,H134)</f>
        <v>819941</v>
      </c>
      <c r="I124" s="147">
        <f>SUM(I125,I127,I129,I132,I134)</f>
        <v>829870.0399999999</v>
      </c>
      <c r="J124" s="50">
        <f t="shared" si="2"/>
        <v>1.0121094566560276</v>
      </c>
      <c r="K124" s="237"/>
      <c r="L124" s="436"/>
      <c r="M124" s="290"/>
    </row>
    <row r="125" spans="1:13" ht="23.25" customHeight="1">
      <c r="A125" s="81"/>
      <c r="B125" s="88">
        <v>85321</v>
      </c>
      <c r="C125" s="56"/>
      <c r="D125" s="57"/>
      <c r="E125" s="58" t="s">
        <v>122</v>
      </c>
      <c r="F125" s="59">
        <f>SUM(F126)</f>
        <v>0</v>
      </c>
      <c r="G125" s="59">
        <f>SUM(G126)</f>
        <v>93500</v>
      </c>
      <c r="H125" s="172">
        <f>SUM(H126)</f>
        <v>166500</v>
      </c>
      <c r="I125" s="188">
        <f>SUM(I126)</f>
        <v>166497.09</v>
      </c>
      <c r="J125" s="159">
        <v>0.9999</v>
      </c>
      <c r="K125" s="237"/>
      <c r="L125" s="436"/>
      <c r="M125" s="290"/>
    </row>
    <row r="126" spans="1:13" ht="45.75" customHeight="1">
      <c r="A126" s="82"/>
      <c r="B126" s="169"/>
      <c r="C126" s="170"/>
      <c r="D126" s="60">
        <v>2110</v>
      </c>
      <c r="E126" s="61" t="s">
        <v>34</v>
      </c>
      <c r="F126" s="62">
        <v>0</v>
      </c>
      <c r="G126" s="63">
        <v>93500</v>
      </c>
      <c r="H126" s="191">
        <v>166500</v>
      </c>
      <c r="I126" s="192">
        <v>166497.09</v>
      </c>
      <c r="J126" s="160">
        <v>0.9999</v>
      </c>
      <c r="K126" s="237"/>
      <c r="L126" s="436"/>
      <c r="M126" s="290"/>
    </row>
    <row r="127" spans="1:13" ht="11.25" customHeight="1">
      <c r="A127" s="82"/>
      <c r="B127" s="243">
        <v>85322</v>
      </c>
      <c r="C127" s="226"/>
      <c r="D127" s="227"/>
      <c r="E127" s="171" t="s">
        <v>101</v>
      </c>
      <c r="F127" s="172"/>
      <c r="G127" s="173"/>
      <c r="H127" s="193">
        <f>SUM(H128)</f>
        <v>321300</v>
      </c>
      <c r="I127" s="194">
        <f>SUM(I128)</f>
        <v>321300</v>
      </c>
      <c r="J127" s="159">
        <f t="shared" si="2"/>
        <v>1</v>
      </c>
      <c r="K127" s="237"/>
      <c r="L127" s="436"/>
      <c r="M127" s="290"/>
    </row>
    <row r="128" spans="1:13" ht="56.25">
      <c r="A128" s="82"/>
      <c r="B128" s="169"/>
      <c r="C128" s="210"/>
      <c r="D128" s="60">
        <v>2690</v>
      </c>
      <c r="E128" s="61" t="s">
        <v>104</v>
      </c>
      <c r="F128" s="62"/>
      <c r="G128" s="63"/>
      <c r="H128" s="191">
        <v>321300</v>
      </c>
      <c r="I128" s="192">
        <v>321300</v>
      </c>
      <c r="J128" s="160">
        <f t="shared" si="2"/>
        <v>1</v>
      </c>
      <c r="K128" s="237"/>
      <c r="L128" s="436"/>
      <c r="M128" s="290"/>
    </row>
    <row r="129" spans="1:13" ht="22.5">
      <c r="A129" s="82"/>
      <c r="B129" s="89">
        <v>85324</v>
      </c>
      <c r="C129" s="9"/>
      <c r="D129" s="11"/>
      <c r="E129" s="19" t="s">
        <v>51</v>
      </c>
      <c r="F129" s="28">
        <f>SUM(F130)</f>
        <v>28500</v>
      </c>
      <c r="G129" s="28">
        <f>SUM(G130)</f>
        <v>0</v>
      </c>
      <c r="H129" s="189">
        <f>SUM(H130,H131)</f>
        <v>81320</v>
      </c>
      <c r="I129" s="190">
        <f>SUM(I130,I131)</f>
        <v>91111</v>
      </c>
      <c r="J129" s="159">
        <f t="shared" si="2"/>
        <v>1.1204008853910477</v>
      </c>
      <c r="K129" s="237"/>
      <c r="L129" s="436"/>
      <c r="M129" s="290"/>
    </row>
    <row r="130" spans="1:13" ht="11.25" customHeight="1">
      <c r="A130" s="82"/>
      <c r="B130" s="358"/>
      <c r="C130" s="359"/>
      <c r="D130" s="360" t="s">
        <v>59</v>
      </c>
      <c r="E130" s="361" t="s">
        <v>6</v>
      </c>
      <c r="F130" s="362">
        <v>28500</v>
      </c>
      <c r="G130" s="362">
        <v>0</v>
      </c>
      <c r="H130" s="292">
        <v>30000</v>
      </c>
      <c r="I130" s="151">
        <v>39913</v>
      </c>
      <c r="J130" s="160">
        <f t="shared" si="2"/>
        <v>1.3304333333333334</v>
      </c>
      <c r="K130" s="237"/>
      <c r="L130" s="436"/>
      <c r="M130" s="290"/>
    </row>
    <row r="131" spans="1:13" ht="56.25">
      <c r="A131" s="82"/>
      <c r="B131" s="90"/>
      <c r="C131" s="393"/>
      <c r="D131" s="394">
        <v>6260</v>
      </c>
      <c r="E131" s="367" t="s">
        <v>137</v>
      </c>
      <c r="F131" s="368"/>
      <c r="G131" s="406"/>
      <c r="H131" s="34">
        <v>51320</v>
      </c>
      <c r="I131" s="149">
        <v>51198</v>
      </c>
      <c r="J131" s="160">
        <f t="shared" si="2"/>
        <v>0.997622759158223</v>
      </c>
      <c r="K131" s="237"/>
      <c r="L131" s="436"/>
      <c r="M131" s="290"/>
    </row>
    <row r="132" spans="1:13" ht="12.75" customHeight="1">
      <c r="A132" s="82"/>
      <c r="B132" s="363">
        <v>85333</v>
      </c>
      <c r="C132" s="328"/>
      <c r="D132" s="324"/>
      <c r="E132" s="325" t="s">
        <v>32</v>
      </c>
      <c r="F132" s="329">
        <f>SUM(F133:F133)</f>
        <v>1200</v>
      </c>
      <c r="G132" s="329">
        <f>SUM(G133:G133)</f>
        <v>0</v>
      </c>
      <c r="H132" s="329">
        <f>SUM(H133:H133)</f>
        <v>920</v>
      </c>
      <c r="I132" s="275">
        <f>SUM(I133:I133)</f>
        <v>1146</v>
      </c>
      <c r="J132" s="159">
        <f t="shared" si="2"/>
        <v>1.2456521739130435</v>
      </c>
      <c r="K132" s="237"/>
      <c r="L132" s="436"/>
      <c r="M132" s="290"/>
    </row>
    <row r="133" spans="1:13" ht="11.25" customHeight="1">
      <c r="A133" s="102"/>
      <c r="B133" s="141"/>
      <c r="C133" s="86"/>
      <c r="D133" s="103" t="s">
        <v>59</v>
      </c>
      <c r="E133" s="42" t="s">
        <v>6</v>
      </c>
      <c r="F133" s="53">
        <v>1200</v>
      </c>
      <c r="G133" s="53">
        <v>0</v>
      </c>
      <c r="H133" s="44">
        <v>920</v>
      </c>
      <c r="I133" s="152">
        <v>1146</v>
      </c>
      <c r="J133" s="160">
        <f t="shared" si="2"/>
        <v>1.2456521739130435</v>
      </c>
      <c r="K133" s="237"/>
      <c r="L133" s="436"/>
      <c r="M133" s="290"/>
    </row>
    <row r="134" spans="1:13" ht="12.75" customHeight="1">
      <c r="A134" s="82"/>
      <c r="B134" s="243">
        <v>85395</v>
      </c>
      <c r="C134" s="370"/>
      <c r="D134" s="371"/>
      <c r="E134" s="372" t="s">
        <v>102</v>
      </c>
      <c r="F134" s="373"/>
      <c r="G134" s="373"/>
      <c r="H134" s="232">
        <f>SUM(H135:H137)</f>
        <v>249901</v>
      </c>
      <c r="I134" s="374">
        <f>SUM(I135:I137)</f>
        <v>249815.94999999998</v>
      </c>
      <c r="J134" s="159">
        <f>I134/H134</f>
        <v>0.99965966522743</v>
      </c>
      <c r="K134" s="237"/>
      <c r="L134" s="436"/>
      <c r="M134" s="290"/>
    </row>
    <row r="135" spans="1:13" s="124" customFormat="1" ht="22.5">
      <c r="A135" s="383"/>
      <c r="B135" s="395"/>
      <c r="C135" s="396"/>
      <c r="D135" s="397">
        <v>2008</v>
      </c>
      <c r="E135" s="367" t="s">
        <v>139</v>
      </c>
      <c r="F135" s="398"/>
      <c r="G135" s="398"/>
      <c r="H135" s="399">
        <v>202401</v>
      </c>
      <c r="I135" s="400">
        <v>202310.43</v>
      </c>
      <c r="J135" s="160">
        <f>I135/H135</f>
        <v>0.9995525219737056</v>
      </c>
      <c r="K135" s="237"/>
      <c r="L135" s="436"/>
      <c r="M135" s="337"/>
    </row>
    <row r="136" spans="1:13" ht="45" customHeight="1">
      <c r="A136" s="82"/>
      <c r="B136" s="179"/>
      <c r="C136" s="207"/>
      <c r="D136" s="211">
        <v>2708</v>
      </c>
      <c r="E136" s="291" t="s">
        <v>111</v>
      </c>
      <c r="F136" s="369"/>
      <c r="G136" s="369"/>
      <c r="H136" s="177">
        <v>0</v>
      </c>
      <c r="I136" s="178">
        <v>5.52</v>
      </c>
      <c r="J136" s="160" t="e">
        <f>I136/H136</f>
        <v>#DIV/0!</v>
      </c>
      <c r="K136" s="237"/>
      <c r="L136" s="436"/>
      <c r="M136" s="290"/>
    </row>
    <row r="137" spans="1:13" ht="12.75">
      <c r="A137" s="73"/>
      <c r="B137" s="179"/>
      <c r="C137" s="402"/>
      <c r="D137" s="401">
        <v>6208</v>
      </c>
      <c r="E137" s="111" t="s">
        <v>138</v>
      </c>
      <c r="F137" s="403"/>
      <c r="G137" s="403"/>
      <c r="H137" s="405">
        <v>47500</v>
      </c>
      <c r="I137" s="404">
        <v>47500</v>
      </c>
      <c r="J137" s="160">
        <f>I137/H137</f>
        <v>1</v>
      </c>
      <c r="K137" s="237"/>
      <c r="L137" s="436"/>
      <c r="M137" s="290"/>
    </row>
    <row r="138" spans="1:13" ht="12.75" customHeight="1">
      <c r="A138" s="259">
        <v>854</v>
      </c>
      <c r="B138" s="94"/>
      <c r="C138" s="94"/>
      <c r="D138" s="95"/>
      <c r="E138" s="96" t="s">
        <v>48</v>
      </c>
      <c r="F138" s="98" t="e">
        <f>SUM(F142,F139,F144)</f>
        <v>#REF!</v>
      </c>
      <c r="G138" s="98" t="e">
        <f>SUM(G142,G139,G144)</f>
        <v>#REF!</v>
      </c>
      <c r="H138" s="98">
        <f>SUM(H139,H142,H144)</f>
        <v>235943</v>
      </c>
      <c r="I138" s="176">
        <f>SUM(I139,I142,I144)</f>
        <v>219372.74</v>
      </c>
      <c r="J138" s="50">
        <f t="shared" si="2"/>
        <v>0.9297700715850862</v>
      </c>
      <c r="K138" s="237"/>
      <c r="L138" s="436"/>
      <c r="M138" s="290"/>
    </row>
    <row r="139" spans="1:13" ht="23.25" customHeight="1">
      <c r="A139" s="81"/>
      <c r="B139" s="99">
        <v>85406</v>
      </c>
      <c r="C139" s="13"/>
      <c r="D139" s="12"/>
      <c r="E139" s="23" t="s">
        <v>121</v>
      </c>
      <c r="F139" s="30">
        <f>SUM(F140:F140)</f>
        <v>210</v>
      </c>
      <c r="G139" s="30">
        <f>SUM(G140:G140)</f>
        <v>0</v>
      </c>
      <c r="H139" s="48">
        <f>SUM(H140:H141)</f>
        <v>44043</v>
      </c>
      <c r="I139" s="175">
        <f>SUM(I140:I141)</f>
        <v>44001.18</v>
      </c>
      <c r="J139" s="159">
        <f t="shared" si="2"/>
        <v>0.9990504734009945</v>
      </c>
      <c r="K139" s="237"/>
      <c r="L139" s="436"/>
      <c r="M139" s="290"/>
    </row>
    <row r="140" spans="1:13" ht="11.25" customHeight="1">
      <c r="A140" s="82"/>
      <c r="B140" s="35"/>
      <c r="C140" s="6"/>
      <c r="D140" s="65" t="s">
        <v>59</v>
      </c>
      <c r="E140" s="36" t="s">
        <v>6</v>
      </c>
      <c r="F140" s="34">
        <v>210</v>
      </c>
      <c r="G140" s="34">
        <v>0</v>
      </c>
      <c r="H140" s="34">
        <v>200</v>
      </c>
      <c r="I140" s="157">
        <v>169</v>
      </c>
      <c r="J140" s="160">
        <f t="shared" si="2"/>
        <v>0.845</v>
      </c>
      <c r="K140" s="237"/>
      <c r="L140" s="436"/>
      <c r="M140" s="290"/>
    </row>
    <row r="141" spans="1:13" ht="32.25" customHeight="1">
      <c r="A141" s="82"/>
      <c r="B141" s="35"/>
      <c r="C141" s="1"/>
      <c r="D141" s="158">
        <v>2130</v>
      </c>
      <c r="E141" s="117" t="s">
        <v>47</v>
      </c>
      <c r="F141" s="105"/>
      <c r="G141" s="105"/>
      <c r="H141" s="344">
        <v>43843</v>
      </c>
      <c r="I141" s="149">
        <v>43832.18</v>
      </c>
      <c r="J141" s="160">
        <f t="shared" si="2"/>
        <v>0.999753210318637</v>
      </c>
      <c r="K141" s="237"/>
      <c r="L141" s="436"/>
      <c r="M141" s="290"/>
    </row>
    <row r="142" spans="1:13" ht="12.75" customHeight="1">
      <c r="A142" s="82"/>
      <c r="B142" s="99">
        <v>85410</v>
      </c>
      <c r="C142" s="13"/>
      <c r="D142" s="12"/>
      <c r="E142" s="144" t="s">
        <v>96</v>
      </c>
      <c r="F142" s="30">
        <f>SUM(F143:F143)</f>
        <v>91000</v>
      </c>
      <c r="G142" s="30">
        <f>SUM(G143:G143)</f>
        <v>0</v>
      </c>
      <c r="H142" s="48">
        <f>SUM(H143:H143)</f>
        <v>116275</v>
      </c>
      <c r="I142" s="175">
        <f>SUM(I143:I143)</f>
        <v>99833.84</v>
      </c>
      <c r="J142" s="159">
        <f t="shared" si="2"/>
        <v>0.8586010750376263</v>
      </c>
      <c r="K142" s="237"/>
      <c r="L142" s="436"/>
      <c r="M142" s="290"/>
    </row>
    <row r="143" spans="1:13" ht="10.5" customHeight="1">
      <c r="A143" s="82"/>
      <c r="B143" s="80"/>
      <c r="C143" s="52"/>
      <c r="D143" s="103" t="s">
        <v>60</v>
      </c>
      <c r="E143" s="42" t="s">
        <v>28</v>
      </c>
      <c r="F143" s="34">
        <v>91000</v>
      </c>
      <c r="G143" s="34">
        <v>0</v>
      </c>
      <c r="H143" s="34">
        <v>116275</v>
      </c>
      <c r="I143" s="157">
        <v>99833.84</v>
      </c>
      <c r="J143" s="160">
        <f t="shared" si="2"/>
        <v>0.8586010750376263</v>
      </c>
      <c r="K143" s="237"/>
      <c r="L143" s="436"/>
      <c r="M143" s="290"/>
    </row>
    <row r="144" spans="1:13" ht="12.75" customHeight="1">
      <c r="A144" s="73"/>
      <c r="B144" s="427">
        <v>85415</v>
      </c>
      <c r="C144" s="428"/>
      <c r="D144" s="308"/>
      <c r="E144" s="309" t="s">
        <v>97</v>
      </c>
      <c r="F144" s="429" t="e">
        <f>SUM(#REF!)</f>
        <v>#REF!</v>
      </c>
      <c r="G144" s="429" t="e">
        <f>SUM(#REF!)</f>
        <v>#REF!</v>
      </c>
      <c r="H144" s="429">
        <f>SUM(H145:H145)</f>
        <v>75625</v>
      </c>
      <c r="I144" s="430">
        <f>SUM(I145:I145)</f>
        <v>75537.72</v>
      </c>
      <c r="J144" s="159">
        <f t="shared" si="2"/>
        <v>0.9988458842975206</v>
      </c>
      <c r="K144" s="237"/>
      <c r="L144" s="436"/>
      <c r="M144" s="290"/>
    </row>
    <row r="145" spans="1:13" ht="35.25" customHeight="1">
      <c r="A145" s="81"/>
      <c r="B145" s="217"/>
      <c r="C145" s="431"/>
      <c r="D145" s="432">
        <v>2130</v>
      </c>
      <c r="E145" s="433" t="s">
        <v>47</v>
      </c>
      <c r="F145" s="434"/>
      <c r="G145" s="435"/>
      <c r="H145" s="196">
        <v>75625</v>
      </c>
      <c r="I145" s="197">
        <v>75537.72</v>
      </c>
      <c r="J145" s="160">
        <f t="shared" si="2"/>
        <v>0.9988458842975206</v>
      </c>
      <c r="K145" s="237"/>
      <c r="L145" s="436">
        <v>7</v>
      </c>
      <c r="M145" s="290"/>
    </row>
    <row r="146" spans="1:13" ht="24.75" customHeight="1">
      <c r="A146" s="244">
        <v>900</v>
      </c>
      <c r="B146" s="245"/>
      <c r="C146" s="246"/>
      <c r="D146" s="247"/>
      <c r="E146" s="248" t="s">
        <v>116</v>
      </c>
      <c r="F146" s="249"/>
      <c r="G146" s="249"/>
      <c r="H146" s="250">
        <f>SUM(H147)</f>
        <v>104700</v>
      </c>
      <c r="I146" s="251">
        <f>SUM(I147)</f>
        <v>23521.65</v>
      </c>
      <c r="J146" s="233">
        <f>I146/H146</f>
        <v>0.22465759312320918</v>
      </c>
      <c r="K146" s="237"/>
      <c r="L146" s="436"/>
      <c r="M146" s="290"/>
    </row>
    <row r="147" spans="1:13" ht="21.75" customHeight="1">
      <c r="A147" s="102"/>
      <c r="B147" s="209">
        <v>90011</v>
      </c>
      <c r="C147" s="205"/>
      <c r="D147" s="213"/>
      <c r="E147" s="212" t="s">
        <v>117</v>
      </c>
      <c r="F147" s="174"/>
      <c r="G147" s="174"/>
      <c r="H147" s="184">
        <f>SUM(H148:H148)</f>
        <v>104700</v>
      </c>
      <c r="I147" s="185">
        <f>SUM(I148:I148)</f>
        <v>23521.65</v>
      </c>
      <c r="J147" s="234">
        <f>I147/H147</f>
        <v>0.22465759312320918</v>
      </c>
      <c r="K147" s="237"/>
      <c r="L147" s="436"/>
      <c r="M147" s="290"/>
    </row>
    <row r="148" spans="1:13" ht="37.5" customHeight="1" thickBot="1">
      <c r="A148" s="102"/>
      <c r="B148" s="81"/>
      <c r="C148" s="214"/>
      <c r="D148" s="215">
        <v>2440</v>
      </c>
      <c r="E148" s="36" t="s">
        <v>118</v>
      </c>
      <c r="F148" s="161"/>
      <c r="G148" s="161"/>
      <c r="H148" s="34">
        <v>104700</v>
      </c>
      <c r="I148" s="157">
        <v>23521.65</v>
      </c>
      <c r="J148" s="229">
        <f>I148/H148</f>
        <v>0.22465759312320918</v>
      </c>
      <c r="K148" s="237"/>
      <c r="L148" s="436"/>
      <c r="M148" s="290"/>
    </row>
    <row r="149" spans="1:13" ht="12.75" customHeight="1" thickBot="1">
      <c r="A149" s="350"/>
      <c r="B149" s="350"/>
      <c r="C149" s="345"/>
      <c r="D149" s="345"/>
      <c r="E149" s="346" t="s">
        <v>33</v>
      </c>
      <c r="F149" s="347" t="e">
        <f>SUM(#REF!,F9,F12,F19,F28,F35,F47,F54,F61,F73,F93,F98,F124,F138,#REF!)</f>
        <v>#REF!</v>
      </c>
      <c r="G149" s="347" t="e">
        <f>SUM(#REF!,G9,G12,G19,G28,G35,G47,G54,G61,G73,G93,G98,G124,G138,#REF!)</f>
        <v>#REF!</v>
      </c>
      <c r="H149" s="347">
        <f>SUM(H6,H9,H12,H19,H28,H35,H47,H54,H61,H73,H93,H98,H124,H138,H146)</f>
        <v>56945641</v>
      </c>
      <c r="I149" s="348">
        <f>SUM(I6,I9,I12,I19,I28,I35,I47,I54,I61,I73,I93,I98,I124,I138,I146)</f>
        <v>57231607.730000004</v>
      </c>
      <c r="J149" s="349">
        <f>I149/H149</f>
        <v>1.005021749250307</v>
      </c>
      <c r="K149" s="237"/>
      <c r="L149" s="436"/>
      <c r="M149" s="290"/>
    </row>
    <row r="150" spans="1:13" ht="17.25" customHeight="1">
      <c r="A150" s="35"/>
      <c r="B150" s="35"/>
      <c r="C150" s="35"/>
      <c r="D150" s="35"/>
      <c r="E150" s="136"/>
      <c r="F150" s="137"/>
      <c r="G150" s="137"/>
      <c r="H150" s="137"/>
      <c r="I150" s="137"/>
      <c r="J150" s="51"/>
      <c r="K150" s="51"/>
      <c r="L150" s="436"/>
      <c r="M150" s="290"/>
    </row>
    <row r="151" spans="4:13" ht="17.25" customHeight="1">
      <c r="D151" s="35"/>
      <c r="E151" s="136"/>
      <c r="F151" s="137"/>
      <c r="G151" s="137"/>
      <c r="H151" s="137"/>
      <c r="I151" s="137"/>
      <c r="J151" s="51"/>
      <c r="K151" s="51"/>
      <c r="L151" s="436"/>
      <c r="M151" s="290"/>
    </row>
    <row r="152" spans="4:13" ht="17.25" customHeight="1">
      <c r="D152" s="35"/>
      <c r="E152" s="136"/>
      <c r="F152" s="137"/>
      <c r="G152" s="137"/>
      <c r="H152" s="137"/>
      <c r="I152" s="137"/>
      <c r="J152" s="51"/>
      <c r="K152" s="51"/>
      <c r="L152" s="436"/>
      <c r="M152" s="290"/>
    </row>
    <row r="153" spans="4:13" ht="17.25" customHeight="1">
      <c r="D153" s="35"/>
      <c r="E153" s="136"/>
      <c r="F153" s="137"/>
      <c r="G153" s="137"/>
      <c r="H153" s="137"/>
      <c r="I153" s="137"/>
      <c r="J153" s="51"/>
      <c r="K153" s="51"/>
      <c r="L153" s="436"/>
      <c r="M153" s="290"/>
    </row>
    <row r="154" spans="4:13" ht="17.25" customHeight="1">
      <c r="D154" s="35"/>
      <c r="E154" s="136"/>
      <c r="F154" s="137"/>
      <c r="G154" s="137"/>
      <c r="H154" s="137"/>
      <c r="I154" s="137"/>
      <c r="J154" s="51"/>
      <c r="K154" s="51"/>
      <c r="L154" s="436"/>
      <c r="M154" s="290"/>
    </row>
    <row r="155" spans="4:13" ht="17.25" customHeight="1">
      <c r="D155" s="35"/>
      <c r="E155" s="136"/>
      <c r="F155" s="137"/>
      <c r="G155" s="137"/>
      <c r="H155" s="137"/>
      <c r="I155" s="137"/>
      <c r="J155" s="51"/>
      <c r="K155" s="51"/>
      <c r="L155" s="436"/>
      <c r="M155" s="290"/>
    </row>
    <row r="156" spans="4:13" ht="17.25" customHeight="1">
      <c r="D156" s="35"/>
      <c r="E156" s="136"/>
      <c r="F156" s="137"/>
      <c r="G156" s="137"/>
      <c r="H156" s="137"/>
      <c r="I156" s="137"/>
      <c r="J156" s="51"/>
      <c r="K156" s="51"/>
      <c r="L156" s="436"/>
      <c r="M156" s="290"/>
    </row>
    <row r="157" spans="4:13" ht="17.25" customHeight="1">
      <c r="D157" s="35"/>
      <c r="E157" s="136"/>
      <c r="F157" s="137"/>
      <c r="G157" s="137"/>
      <c r="H157" s="137"/>
      <c r="I157" s="137"/>
      <c r="J157" s="51"/>
      <c r="K157" s="51"/>
      <c r="L157" s="436"/>
      <c r="M157" s="290"/>
    </row>
    <row r="158" spans="4:13" ht="17.25" customHeight="1">
      <c r="D158" s="35"/>
      <c r="E158" s="136"/>
      <c r="F158" s="137"/>
      <c r="G158" s="137"/>
      <c r="H158" s="137"/>
      <c r="I158" s="137"/>
      <c r="J158" s="51"/>
      <c r="K158" s="51"/>
      <c r="L158" s="436"/>
      <c r="M158" s="290"/>
    </row>
    <row r="159" spans="4:13" ht="17.25" customHeight="1">
      <c r="D159" s="35"/>
      <c r="E159" s="136"/>
      <c r="F159" s="137"/>
      <c r="G159" s="137"/>
      <c r="H159" s="137"/>
      <c r="I159" s="137"/>
      <c r="J159" s="51"/>
      <c r="K159" s="51"/>
      <c r="L159" s="436"/>
      <c r="M159" s="290"/>
    </row>
    <row r="160" spans="4:13" ht="17.25" customHeight="1">
      <c r="D160" s="35"/>
      <c r="E160" s="136"/>
      <c r="F160" s="137"/>
      <c r="G160" s="137"/>
      <c r="H160" s="137"/>
      <c r="I160" s="137"/>
      <c r="J160" s="51"/>
      <c r="K160" s="51"/>
      <c r="L160" s="436"/>
      <c r="M160" s="290"/>
    </row>
    <row r="161" spans="4:12" ht="17.25" customHeight="1">
      <c r="D161" s="35"/>
      <c r="E161" s="136"/>
      <c r="F161" s="137"/>
      <c r="G161" s="137"/>
      <c r="H161" s="137"/>
      <c r="I161" s="137"/>
      <c r="J161" s="51"/>
      <c r="K161" s="51"/>
      <c r="L161" s="436"/>
    </row>
    <row r="162" spans="4:12" ht="17.25" customHeight="1">
      <c r="D162" s="35"/>
      <c r="E162" s="136"/>
      <c r="F162" s="137"/>
      <c r="G162" s="137"/>
      <c r="H162" s="137"/>
      <c r="I162" s="137"/>
      <c r="J162" s="51"/>
      <c r="K162" s="51"/>
      <c r="L162" s="436"/>
    </row>
    <row r="163" spans="4:12" ht="17.25" customHeight="1">
      <c r="D163" s="35"/>
      <c r="E163" s="136"/>
      <c r="F163" s="137"/>
      <c r="G163" s="137"/>
      <c r="H163" s="137"/>
      <c r="I163" s="137"/>
      <c r="J163" s="51"/>
      <c r="K163" s="51"/>
      <c r="L163" s="436"/>
    </row>
    <row r="164" spans="4:12" ht="17.25" customHeight="1">
      <c r="D164" s="35"/>
      <c r="E164" s="136"/>
      <c r="F164" s="137"/>
      <c r="G164" s="137"/>
      <c r="H164" s="137"/>
      <c r="I164" s="137"/>
      <c r="J164" s="51"/>
      <c r="K164" s="51"/>
      <c r="L164" s="436"/>
    </row>
    <row r="165" spans="4:12" ht="17.25" customHeight="1">
      <c r="D165" s="35"/>
      <c r="E165" s="136"/>
      <c r="F165" s="137"/>
      <c r="G165" s="137"/>
      <c r="H165" s="137"/>
      <c r="I165" s="137"/>
      <c r="J165" s="51"/>
      <c r="K165" s="51"/>
      <c r="L165" s="436"/>
    </row>
    <row r="166" spans="4:12" ht="17.25" customHeight="1">
      <c r="D166" s="35"/>
      <c r="E166" s="136"/>
      <c r="F166" s="137"/>
      <c r="G166" s="137"/>
      <c r="H166" s="137"/>
      <c r="I166" s="137"/>
      <c r="J166" s="51"/>
      <c r="K166" s="51"/>
      <c r="L166" s="436"/>
    </row>
    <row r="167" spans="4:12" ht="17.25" customHeight="1">
      <c r="D167" s="35"/>
      <c r="E167" s="136"/>
      <c r="F167" s="137"/>
      <c r="G167" s="137"/>
      <c r="H167" s="137"/>
      <c r="I167" s="137"/>
      <c r="J167" s="51"/>
      <c r="K167" s="51"/>
      <c r="L167" s="436"/>
    </row>
    <row r="168" spans="4:12" ht="17.25" customHeight="1">
      <c r="D168" s="35"/>
      <c r="E168" s="136"/>
      <c r="F168" s="137"/>
      <c r="G168" s="137"/>
      <c r="H168" s="137"/>
      <c r="I168" s="137"/>
      <c r="J168" s="51"/>
      <c r="K168" s="51"/>
      <c r="L168" s="436"/>
    </row>
    <row r="169" spans="4:12" ht="17.25" customHeight="1">
      <c r="D169" s="35"/>
      <c r="E169" s="136"/>
      <c r="F169" s="137"/>
      <c r="G169" s="137"/>
      <c r="H169" s="137"/>
      <c r="I169" s="137"/>
      <c r="J169" s="51"/>
      <c r="K169" s="51"/>
      <c r="L169" s="436"/>
    </row>
    <row r="170" spans="4:12" ht="17.25" customHeight="1">
      <c r="D170" s="35"/>
      <c r="E170" s="136"/>
      <c r="F170" s="137"/>
      <c r="G170" s="137"/>
      <c r="H170" s="137"/>
      <c r="I170" s="137"/>
      <c r="J170" s="51"/>
      <c r="K170" s="51"/>
      <c r="L170" s="436"/>
    </row>
    <row r="171" spans="4:12" ht="17.25" customHeight="1">
      <c r="D171" s="35"/>
      <c r="E171" s="136"/>
      <c r="F171" s="137"/>
      <c r="G171" s="137"/>
      <c r="H171" s="137"/>
      <c r="I171" s="137"/>
      <c r="J171" s="51"/>
      <c r="K171" s="51"/>
      <c r="L171" s="436"/>
    </row>
    <row r="172" spans="4:12" ht="17.25" customHeight="1">
      <c r="D172" s="35"/>
      <c r="E172" s="136"/>
      <c r="F172" s="137"/>
      <c r="G172" s="137"/>
      <c r="H172" s="137"/>
      <c r="I172" s="137"/>
      <c r="J172" s="51"/>
      <c r="K172" s="51"/>
      <c r="L172" s="436"/>
    </row>
    <row r="173" spans="4:12" ht="17.25" customHeight="1">
      <c r="D173" s="35"/>
      <c r="E173" s="136"/>
      <c r="F173" s="137"/>
      <c r="G173" s="137"/>
      <c r="H173" s="137"/>
      <c r="I173" s="137"/>
      <c r="J173" s="51"/>
      <c r="K173" s="51"/>
      <c r="L173" s="436"/>
    </row>
    <row r="174" spans="4:12" ht="17.25" customHeight="1">
      <c r="D174" s="35"/>
      <c r="E174" s="136"/>
      <c r="F174" s="137"/>
      <c r="G174" s="137"/>
      <c r="H174" s="137"/>
      <c r="I174" s="137"/>
      <c r="J174" s="51"/>
      <c r="K174" s="51"/>
      <c r="L174" s="436"/>
    </row>
    <row r="175" spans="4:12" ht="17.25" customHeight="1">
      <c r="D175" s="35"/>
      <c r="E175" s="136"/>
      <c r="F175" s="137"/>
      <c r="G175" s="137"/>
      <c r="H175" s="137"/>
      <c r="I175" s="137"/>
      <c r="J175" s="51"/>
      <c r="K175" s="51"/>
      <c r="L175" s="436"/>
    </row>
    <row r="176" spans="4:11" ht="17.25" customHeight="1">
      <c r="D176" s="35"/>
      <c r="E176" s="136"/>
      <c r="F176" s="137"/>
      <c r="G176" s="137"/>
      <c r="H176" s="137"/>
      <c r="I176" s="137"/>
      <c r="J176" s="51"/>
      <c r="K176" s="239"/>
    </row>
    <row r="177" spans="4:11" ht="17.25" customHeight="1">
      <c r="D177" s="35"/>
      <c r="E177" s="136"/>
      <c r="F177" s="137"/>
      <c r="G177" s="137"/>
      <c r="H177" s="137"/>
      <c r="I177" s="137"/>
      <c r="J177" s="51"/>
      <c r="K177" s="239"/>
    </row>
    <row r="178" spans="4:11" ht="17.25" customHeight="1">
      <c r="D178" s="35"/>
      <c r="E178" s="136"/>
      <c r="F178" s="137"/>
      <c r="G178" s="137"/>
      <c r="H178" s="137"/>
      <c r="I178" s="137"/>
      <c r="J178" s="51"/>
      <c r="K178" s="239"/>
    </row>
    <row r="179" spans="4:11" ht="17.25" customHeight="1">
      <c r="D179" s="35"/>
      <c r="E179" s="136"/>
      <c r="F179" s="137"/>
      <c r="G179" s="137"/>
      <c r="H179" s="137"/>
      <c r="I179" s="137"/>
      <c r="J179" s="51"/>
      <c r="K179" s="239"/>
    </row>
    <row r="180" spans="4:11" ht="17.25" customHeight="1">
      <c r="D180" s="35"/>
      <c r="E180" s="120" t="s">
        <v>63</v>
      </c>
      <c r="F180" s="121">
        <f aca="true" t="shared" si="3" ref="F180:F190">SUMIF($D$9:$D$148,+E180,$F$9:$F$148)</f>
        <v>6572681</v>
      </c>
      <c r="G180" s="121">
        <f aca="true" t="shared" si="4" ref="G180:G190">SUMIF($D$9:$D$148,+E180,$G$9:$G$148)</f>
        <v>0</v>
      </c>
      <c r="H180" s="121">
        <f>SUMIF($D$9:$D$149,+E180,$H$9:$H$148)</f>
        <v>8591245</v>
      </c>
      <c r="I180" s="297">
        <f aca="true" t="shared" si="5" ref="I180:I200">SUMIF($D$9:$D$149,+E180,$I$9:$I$148)</f>
        <v>9251459</v>
      </c>
      <c r="J180" s="235">
        <f aca="true" t="shared" si="6" ref="J180:J248">I180/H180</f>
        <v>1.0768473021081344</v>
      </c>
      <c r="K180" s="304">
        <f>H180-I180:I181</f>
        <v>-660214</v>
      </c>
    </row>
    <row r="181" spans="4:11" ht="17.25" customHeight="1">
      <c r="D181" s="35"/>
      <c r="E181" s="120" t="s">
        <v>64</v>
      </c>
      <c r="F181" s="121">
        <f t="shared" si="3"/>
        <v>500000</v>
      </c>
      <c r="G181" s="121">
        <f t="shared" si="4"/>
        <v>0</v>
      </c>
      <c r="H181" s="121">
        <f aca="true" t="shared" si="7" ref="H181:H234">SUMIF($D$9:$D$149,+E181,$H$9:$H$148)</f>
        <v>700000</v>
      </c>
      <c r="I181" s="297">
        <f t="shared" si="5"/>
        <v>534724.11</v>
      </c>
      <c r="J181" s="235">
        <f t="shared" si="6"/>
        <v>0.7638915857142857</v>
      </c>
      <c r="K181" s="304">
        <f aca="true" t="shared" si="8" ref="K181:K247">H181-I181:I182</f>
        <v>165275.89</v>
      </c>
    </row>
    <row r="182" spans="4:11" ht="17.25" customHeight="1">
      <c r="D182" s="35"/>
      <c r="E182" s="120" t="s">
        <v>65</v>
      </c>
      <c r="F182" s="121">
        <f t="shared" si="3"/>
        <v>2400000</v>
      </c>
      <c r="G182" s="121">
        <f t="shared" si="4"/>
        <v>0</v>
      </c>
      <c r="H182" s="121">
        <f t="shared" si="7"/>
        <v>2280000</v>
      </c>
      <c r="I182" s="297">
        <f t="shared" si="5"/>
        <v>2152815.1</v>
      </c>
      <c r="J182" s="235">
        <f t="shared" si="6"/>
        <v>0.9442171491228071</v>
      </c>
      <c r="K182" s="304">
        <f t="shared" si="8"/>
        <v>127184.8999999999</v>
      </c>
    </row>
    <row r="183" spans="4:11" ht="17.25" customHeight="1">
      <c r="D183" s="35"/>
      <c r="E183" s="120" t="s">
        <v>66</v>
      </c>
      <c r="F183" s="121">
        <f t="shared" si="3"/>
        <v>0</v>
      </c>
      <c r="G183" s="121">
        <f t="shared" si="4"/>
        <v>0</v>
      </c>
      <c r="H183" s="121">
        <f t="shared" si="7"/>
        <v>0</v>
      </c>
      <c r="I183" s="297">
        <f t="shared" si="5"/>
        <v>0</v>
      </c>
      <c r="J183" s="235" t="e">
        <f t="shared" si="6"/>
        <v>#DIV/0!</v>
      </c>
      <c r="K183" s="304">
        <f t="shared" si="8"/>
        <v>0</v>
      </c>
    </row>
    <row r="184" spans="4:11" ht="17.25" customHeight="1">
      <c r="D184" s="35"/>
      <c r="E184" s="120" t="s">
        <v>67</v>
      </c>
      <c r="F184" s="121">
        <f t="shared" si="3"/>
        <v>14153</v>
      </c>
      <c r="G184" s="121">
        <f t="shared" si="4"/>
        <v>0</v>
      </c>
      <c r="H184" s="121">
        <f t="shared" si="7"/>
        <v>14586</v>
      </c>
      <c r="I184" s="297">
        <f t="shared" si="5"/>
        <v>14586.04</v>
      </c>
      <c r="J184" s="235">
        <f t="shared" si="6"/>
        <v>1.0000027423556836</v>
      </c>
      <c r="K184" s="304">
        <f t="shared" si="8"/>
        <v>-0.040000000000873115</v>
      </c>
    </row>
    <row r="185" spans="4:11" ht="17.25" customHeight="1">
      <c r="D185" s="35"/>
      <c r="E185" s="120" t="s">
        <v>109</v>
      </c>
      <c r="F185" s="121">
        <f t="shared" si="3"/>
        <v>0</v>
      </c>
      <c r="G185" s="121">
        <f t="shared" si="4"/>
        <v>0</v>
      </c>
      <c r="H185" s="121">
        <f t="shared" si="7"/>
        <v>80000</v>
      </c>
      <c r="I185" s="297">
        <f t="shared" si="5"/>
        <v>107438.8</v>
      </c>
      <c r="J185" s="235">
        <f t="shared" si="6"/>
        <v>1.342985</v>
      </c>
      <c r="K185" s="304">
        <f t="shared" si="8"/>
        <v>-27438.800000000003</v>
      </c>
    </row>
    <row r="186" spans="4:11" ht="17.25" customHeight="1">
      <c r="D186" s="35"/>
      <c r="E186" s="120" t="s">
        <v>68</v>
      </c>
      <c r="F186" s="121">
        <f t="shared" si="3"/>
        <v>0</v>
      </c>
      <c r="G186" s="121">
        <f t="shared" si="4"/>
        <v>0</v>
      </c>
      <c r="H186" s="121">
        <f t="shared" si="7"/>
        <v>0</v>
      </c>
      <c r="I186" s="297">
        <f t="shared" si="5"/>
        <v>0</v>
      </c>
      <c r="J186" s="235" t="e">
        <f t="shared" si="6"/>
        <v>#DIV/0!</v>
      </c>
      <c r="K186" s="304">
        <f t="shared" si="8"/>
        <v>0</v>
      </c>
    </row>
    <row r="187" spans="4:11" ht="17.25" customHeight="1">
      <c r="D187" s="35"/>
      <c r="E187" s="120" t="s">
        <v>69</v>
      </c>
      <c r="F187" s="121">
        <f t="shared" si="3"/>
        <v>0</v>
      </c>
      <c r="G187" s="121">
        <f t="shared" si="4"/>
        <v>0</v>
      </c>
      <c r="H187" s="121">
        <f t="shared" si="7"/>
        <v>0</v>
      </c>
      <c r="I187" s="297">
        <f t="shared" si="5"/>
        <v>0</v>
      </c>
      <c r="J187" s="235" t="e">
        <f t="shared" si="6"/>
        <v>#DIV/0!</v>
      </c>
      <c r="K187" s="304">
        <f t="shared" si="8"/>
        <v>0</v>
      </c>
    </row>
    <row r="188" spans="4:11" ht="17.25" customHeight="1">
      <c r="D188" s="35"/>
      <c r="E188" s="120" t="s">
        <v>94</v>
      </c>
      <c r="F188" s="121">
        <f t="shared" si="3"/>
        <v>2000</v>
      </c>
      <c r="G188" s="121">
        <f t="shared" si="4"/>
        <v>0</v>
      </c>
      <c r="H188" s="121">
        <f t="shared" si="7"/>
        <v>24000</v>
      </c>
      <c r="I188" s="297">
        <f t="shared" si="5"/>
        <v>25444</v>
      </c>
      <c r="J188" s="235">
        <f t="shared" si="6"/>
        <v>1.0601666666666667</v>
      </c>
      <c r="K188" s="304">
        <f t="shared" si="8"/>
        <v>-1444</v>
      </c>
    </row>
    <row r="189" spans="4:11" ht="17.25" customHeight="1">
      <c r="D189" s="35"/>
      <c r="E189" s="120" t="s">
        <v>61</v>
      </c>
      <c r="F189" s="121">
        <f t="shared" si="3"/>
        <v>18000</v>
      </c>
      <c r="G189" s="121">
        <f t="shared" si="4"/>
        <v>0</v>
      </c>
      <c r="H189" s="121">
        <f t="shared" si="7"/>
        <v>19500</v>
      </c>
      <c r="I189" s="297">
        <f t="shared" si="5"/>
        <v>19414.989999999998</v>
      </c>
      <c r="J189" s="235">
        <f t="shared" si="6"/>
        <v>0.9956405128205127</v>
      </c>
      <c r="K189" s="304">
        <f t="shared" si="8"/>
        <v>85.01000000000204</v>
      </c>
    </row>
    <row r="190" spans="4:11" ht="17.25" customHeight="1">
      <c r="D190" s="35"/>
      <c r="E190" s="120" t="s">
        <v>70</v>
      </c>
      <c r="F190" s="121">
        <f t="shared" si="3"/>
        <v>518100</v>
      </c>
      <c r="G190" s="121">
        <f t="shared" si="4"/>
        <v>0</v>
      </c>
      <c r="H190" s="121">
        <f t="shared" si="7"/>
        <v>851074</v>
      </c>
      <c r="I190" s="297">
        <f t="shared" si="5"/>
        <v>784028.84</v>
      </c>
      <c r="J190" s="235">
        <f t="shared" si="6"/>
        <v>0.9212228783866032</v>
      </c>
      <c r="K190" s="304">
        <f>H190-I190:I192</f>
        <v>67045.16000000003</v>
      </c>
    </row>
    <row r="191" spans="4:11" ht="17.25" customHeight="1">
      <c r="D191" s="35"/>
      <c r="E191" s="120">
        <v>770</v>
      </c>
      <c r="F191" s="121"/>
      <c r="G191" s="121"/>
      <c r="H191" s="121">
        <f t="shared" si="7"/>
        <v>326000</v>
      </c>
      <c r="I191" s="297">
        <f t="shared" si="5"/>
        <v>325799.5</v>
      </c>
      <c r="J191" s="235">
        <f t="shared" si="6"/>
        <v>0.9993849693251534</v>
      </c>
      <c r="K191" s="304"/>
    </row>
    <row r="192" spans="4:11" ht="17.25" customHeight="1">
      <c r="D192" s="35"/>
      <c r="E192" s="120" t="s">
        <v>60</v>
      </c>
      <c r="F192" s="121">
        <f>SUMIF($D$9:$D$148,+E192,$F$9:$F$148)</f>
        <v>1951100</v>
      </c>
      <c r="G192" s="121">
        <f>SUMIF($D$9:$D$148,+E192,$G$9:$G$148)</f>
        <v>0</v>
      </c>
      <c r="H192" s="121">
        <f t="shared" si="7"/>
        <v>3734075</v>
      </c>
      <c r="I192" s="297">
        <f t="shared" si="5"/>
        <v>3774729.87</v>
      </c>
      <c r="J192" s="235">
        <f t="shared" si="6"/>
        <v>1.0108875343960686</v>
      </c>
      <c r="K192" s="304">
        <f t="shared" si="8"/>
        <v>-40654.87000000011</v>
      </c>
    </row>
    <row r="193" spans="4:11" ht="17.25" customHeight="1">
      <c r="D193" s="35"/>
      <c r="E193" s="120" t="s">
        <v>71</v>
      </c>
      <c r="F193" s="121">
        <f>SUMIF($D$9:$D$148,+E193,$F$9:$F$148)</f>
        <v>0</v>
      </c>
      <c r="G193" s="121">
        <f>SUMIF($D$9:$D$148,+E193,$G$9:$G$148)</f>
        <v>0</v>
      </c>
      <c r="H193" s="121">
        <f t="shared" si="7"/>
        <v>0</v>
      </c>
      <c r="I193" s="297">
        <f t="shared" si="5"/>
        <v>0</v>
      </c>
      <c r="J193" s="235" t="e">
        <f t="shared" si="6"/>
        <v>#DIV/0!</v>
      </c>
      <c r="K193" s="304">
        <f t="shared" si="8"/>
        <v>0</v>
      </c>
    </row>
    <row r="194" spans="4:11" ht="17.25" customHeight="1">
      <c r="D194" s="35"/>
      <c r="E194" s="120" t="s">
        <v>62</v>
      </c>
      <c r="F194" s="121">
        <f>SUMIF($D$9:$D$148,+E194,$F$9:$F$148)</f>
        <v>8000</v>
      </c>
      <c r="G194" s="121">
        <f>SUMIF($D$9:$D$148,+E194,$G$9:$G$148)</f>
        <v>0</v>
      </c>
      <c r="H194" s="121">
        <f t="shared" si="7"/>
        <v>3315</v>
      </c>
      <c r="I194" s="297">
        <f t="shared" si="5"/>
        <v>3500.85</v>
      </c>
      <c r="J194" s="235">
        <f t="shared" si="6"/>
        <v>1.0560633484162896</v>
      </c>
      <c r="K194" s="304">
        <f t="shared" si="8"/>
        <v>-185.8499999999999</v>
      </c>
    </row>
    <row r="195" spans="4:11" ht="17.25" customHeight="1">
      <c r="D195" s="35"/>
      <c r="E195" s="120" t="s">
        <v>100</v>
      </c>
      <c r="F195" s="121">
        <f>SUMIF($D$9:$D$148,+E195,$F$9:$F$148)</f>
        <v>0</v>
      </c>
      <c r="G195" s="121">
        <f>SUMIF($D$9:$D$148,+E195,$G$9:$G$148)</f>
        <v>0</v>
      </c>
      <c r="H195" s="121">
        <f t="shared" si="7"/>
        <v>0</v>
      </c>
      <c r="I195" s="297">
        <f t="shared" si="5"/>
        <v>0</v>
      </c>
      <c r="J195" s="235" t="e">
        <f t="shared" si="6"/>
        <v>#DIV/0!</v>
      </c>
      <c r="K195" s="304">
        <f t="shared" si="8"/>
        <v>0</v>
      </c>
    </row>
    <row r="196" spans="4:11" ht="17.25" customHeight="1">
      <c r="D196" s="35"/>
      <c r="E196" s="120" t="s">
        <v>72</v>
      </c>
      <c r="F196" s="121">
        <f>SUMIF($D$9:$D$148,+E196,$F$9:$F$148)</f>
        <v>120000</v>
      </c>
      <c r="G196" s="121">
        <f>SUMIF($D$9:$D$148,+E196,$G$9:$G$148)</f>
        <v>0</v>
      </c>
      <c r="H196" s="121">
        <f t="shared" si="7"/>
        <v>121000</v>
      </c>
      <c r="I196" s="297">
        <f t="shared" si="5"/>
        <v>154234.32</v>
      </c>
      <c r="J196" s="235">
        <f>I196/H196</f>
        <v>1.2746638016528926</v>
      </c>
      <c r="K196" s="304">
        <f t="shared" si="8"/>
        <v>-33234.32000000001</v>
      </c>
    </row>
    <row r="197" spans="4:11" ht="17.25" customHeight="1">
      <c r="D197" s="35"/>
      <c r="E197" s="120" t="s">
        <v>119</v>
      </c>
      <c r="F197" s="121"/>
      <c r="G197" s="121"/>
      <c r="H197" s="121">
        <f t="shared" si="7"/>
        <v>0</v>
      </c>
      <c r="I197" s="297">
        <f t="shared" si="5"/>
        <v>0</v>
      </c>
      <c r="J197" s="235" t="e">
        <f>I197/H197</f>
        <v>#DIV/0!</v>
      </c>
      <c r="K197" s="304">
        <f t="shared" si="8"/>
        <v>0</v>
      </c>
    </row>
    <row r="198" spans="4:11" ht="17.25" customHeight="1">
      <c r="D198" s="35"/>
      <c r="E198" s="120" t="s">
        <v>73</v>
      </c>
      <c r="F198" s="121">
        <f>SUMIF($D$9:$D$148,+E198,$F$9:$F$148)</f>
        <v>0</v>
      </c>
      <c r="G198" s="121">
        <f>SUMIF($D$9:$D$148,+E198,$G$9:$G$148)</f>
        <v>0</v>
      </c>
      <c r="H198" s="121">
        <f t="shared" si="7"/>
        <v>0</v>
      </c>
      <c r="I198" s="297">
        <f t="shared" si="5"/>
        <v>500</v>
      </c>
      <c r="J198" s="235" t="e">
        <f t="shared" si="6"/>
        <v>#DIV/0!</v>
      </c>
      <c r="K198" s="304">
        <f t="shared" si="8"/>
        <v>-500</v>
      </c>
    </row>
    <row r="199" spans="4:11" ht="17.25" customHeight="1">
      <c r="D199" s="35"/>
      <c r="E199" s="120" t="s">
        <v>59</v>
      </c>
      <c r="F199" s="121">
        <f>SUMIF($D$9:$D$148,+E199,$F$9:$F$148)</f>
        <v>148107</v>
      </c>
      <c r="G199" s="121">
        <f>SUMIF($D$9:$D$148,+E199,$G$9:$G$148)</f>
        <v>0</v>
      </c>
      <c r="H199" s="121">
        <f t="shared" si="7"/>
        <v>289271</v>
      </c>
      <c r="I199" s="297">
        <f t="shared" si="5"/>
        <v>354388.89999999997</v>
      </c>
      <c r="J199" s="235">
        <f t="shared" si="6"/>
        <v>1.2251103636382492</v>
      </c>
      <c r="K199" s="304">
        <f>H199-I199:I201</f>
        <v>-65117.899999999965</v>
      </c>
    </row>
    <row r="200" spans="4:11" ht="17.25" customHeight="1">
      <c r="D200" s="35"/>
      <c r="E200" s="120">
        <v>2008</v>
      </c>
      <c r="F200" s="121"/>
      <c r="G200" s="121"/>
      <c r="H200" s="121">
        <f t="shared" si="7"/>
        <v>202401</v>
      </c>
      <c r="I200" s="297">
        <f t="shared" si="5"/>
        <v>202310.43</v>
      </c>
      <c r="J200" s="235"/>
      <c r="K200" s="304"/>
    </row>
    <row r="201" spans="4:11" ht="17.25" customHeight="1">
      <c r="D201" s="35"/>
      <c r="E201" s="135">
        <v>2110</v>
      </c>
      <c r="F201" s="121">
        <f aca="true" t="shared" si="9" ref="F201:F207">SUMIF($D$9:$D$148,+E201,$F$9:$F$148)</f>
        <v>0</v>
      </c>
      <c r="G201" s="121">
        <f aca="true" t="shared" si="10" ref="G201:G207">SUMIF($D$9:$D$148,+E201,$G$9:$G$148)</f>
        <v>3902652</v>
      </c>
      <c r="H201" s="121">
        <f>SUMIF($D$6:$D$149,+E201,$H$6:$H$148)</f>
        <v>5671064</v>
      </c>
      <c r="I201" s="297">
        <f>SUMIF($D$6:$D$149,+E201,$I$6:$I$148)</f>
        <v>5578648.73</v>
      </c>
      <c r="J201" s="235">
        <f t="shared" si="6"/>
        <v>0.9837040685839554</v>
      </c>
      <c r="K201" s="304">
        <f t="shared" si="8"/>
        <v>92415.26999999955</v>
      </c>
    </row>
    <row r="202" spans="4:11" ht="17.25" customHeight="1">
      <c r="D202" s="35"/>
      <c r="E202" s="135">
        <v>2120</v>
      </c>
      <c r="F202" s="121">
        <f t="shared" si="9"/>
        <v>0</v>
      </c>
      <c r="G202" s="121">
        <f t="shared" si="10"/>
        <v>6000</v>
      </c>
      <c r="H202" s="121">
        <f t="shared" si="7"/>
        <v>8000</v>
      </c>
      <c r="I202" s="297">
        <f aca="true" t="shared" si="11" ref="I202:I234">SUMIF($D$9:$D$149,+E202,$I$9:$I$148)</f>
        <v>7931</v>
      </c>
      <c r="J202" s="235">
        <f t="shared" si="6"/>
        <v>0.991375</v>
      </c>
      <c r="K202" s="304">
        <f t="shared" si="8"/>
        <v>69</v>
      </c>
    </row>
    <row r="203" spans="4:11" ht="17.25" customHeight="1">
      <c r="D203" s="35"/>
      <c r="E203" s="135">
        <v>2130</v>
      </c>
      <c r="F203" s="121">
        <f t="shared" si="9"/>
        <v>4992020</v>
      </c>
      <c r="G203" s="121">
        <f t="shared" si="10"/>
        <v>0</v>
      </c>
      <c r="H203" s="121">
        <f t="shared" si="7"/>
        <v>6286002</v>
      </c>
      <c r="I203" s="297">
        <f t="shared" si="11"/>
        <v>6285903.899999999</v>
      </c>
      <c r="J203" s="235">
        <f t="shared" si="6"/>
        <v>0.999984393896152</v>
      </c>
      <c r="K203" s="304">
        <f t="shared" si="8"/>
        <v>98.1000000005588</v>
      </c>
    </row>
    <row r="204" spans="4:11" ht="17.25" customHeight="1">
      <c r="D204" s="35"/>
      <c r="E204" s="135">
        <v>2133</v>
      </c>
      <c r="F204" s="121">
        <f t="shared" si="9"/>
        <v>0</v>
      </c>
      <c r="G204" s="121">
        <f t="shared" si="10"/>
        <v>0</v>
      </c>
      <c r="H204" s="121">
        <f t="shared" si="7"/>
        <v>0</v>
      </c>
      <c r="I204" s="297">
        <f t="shared" si="11"/>
        <v>0</v>
      </c>
      <c r="J204" s="235" t="e">
        <f t="shared" si="6"/>
        <v>#DIV/0!</v>
      </c>
      <c r="K204" s="304">
        <f t="shared" si="8"/>
        <v>0</v>
      </c>
    </row>
    <row r="205" spans="4:11" ht="17.25" customHeight="1">
      <c r="D205" s="35"/>
      <c r="E205" s="133">
        <v>2320</v>
      </c>
      <c r="F205" s="121">
        <f t="shared" si="9"/>
        <v>579200</v>
      </c>
      <c r="G205" s="121">
        <f t="shared" si="10"/>
        <v>0</v>
      </c>
      <c r="H205" s="121">
        <f t="shared" si="7"/>
        <v>658304</v>
      </c>
      <c r="I205" s="297">
        <f t="shared" si="11"/>
        <v>662103.5</v>
      </c>
      <c r="J205" s="235">
        <f t="shared" si="6"/>
        <v>1.0057716495722342</v>
      </c>
      <c r="K205" s="304">
        <f t="shared" si="8"/>
        <v>-3799.5</v>
      </c>
    </row>
    <row r="206" spans="4:11" ht="17.25" customHeight="1">
      <c r="D206" s="35"/>
      <c r="E206" s="133">
        <v>2330</v>
      </c>
      <c r="F206" s="121">
        <f t="shared" si="9"/>
        <v>0</v>
      </c>
      <c r="G206" s="121">
        <f t="shared" si="10"/>
        <v>0</v>
      </c>
      <c r="H206" s="121">
        <f t="shared" si="7"/>
        <v>0</v>
      </c>
      <c r="I206" s="297">
        <f t="shared" si="11"/>
        <v>0</v>
      </c>
      <c r="J206" s="235" t="e">
        <f t="shared" si="6"/>
        <v>#DIV/0!</v>
      </c>
      <c r="K206" s="304">
        <f t="shared" si="8"/>
        <v>0</v>
      </c>
    </row>
    <row r="207" spans="4:11" ht="17.25" customHeight="1">
      <c r="D207" s="35"/>
      <c r="E207" s="122">
        <v>2360</v>
      </c>
      <c r="F207" s="121">
        <f t="shared" si="9"/>
        <v>89933</v>
      </c>
      <c r="G207" s="121">
        <f t="shared" si="10"/>
        <v>0</v>
      </c>
      <c r="H207" s="121">
        <f t="shared" si="7"/>
        <v>137683</v>
      </c>
      <c r="I207" s="297">
        <f t="shared" si="11"/>
        <v>139638.88999999998</v>
      </c>
      <c r="J207" s="235">
        <f t="shared" si="6"/>
        <v>1.0142057479863162</v>
      </c>
      <c r="K207" s="304">
        <f t="shared" si="8"/>
        <v>-1955.8899999999849</v>
      </c>
    </row>
    <row r="208" spans="4:11" ht="17.25" customHeight="1">
      <c r="D208" s="35"/>
      <c r="E208" s="122">
        <v>2400</v>
      </c>
      <c r="F208" s="121"/>
      <c r="G208" s="121"/>
      <c r="H208" s="121">
        <f t="shared" si="7"/>
        <v>0</v>
      </c>
      <c r="I208" s="297">
        <f t="shared" si="11"/>
        <v>0</v>
      </c>
      <c r="J208" s="235"/>
      <c r="K208" s="304">
        <f t="shared" si="8"/>
        <v>0</v>
      </c>
    </row>
    <row r="209" spans="4:11" ht="17.25" customHeight="1">
      <c r="D209" s="35"/>
      <c r="E209" s="132">
        <v>2440</v>
      </c>
      <c r="F209" s="121">
        <f>SUMIF($D$9:$D$148,+E209,$F$9:$F$148)</f>
        <v>0</v>
      </c>
      <c r="G209" s="121">
        <f>SUMIF($D$9:$D$148,+E209,$G$9:$G$148)</f>
        <v>0</v>
      </c>
      <c r="H209" s="121">
        <f t="shared" si="7"/>
        <v>104700</v>
      </c>
      <c r="I209" s="297">
        <f t="shared" si="11"/>
        <v>23521.65</v>
      </c>
      <c r="J209" s="235">
        <f t="shared" si="6"/>
        <v>0.22465759312320918</v>
      </c>
      <c r="K209" s="304">
        <f t="shared" si="8"/>
        <v>81178.35</v>
      </c>
    </row>
    <row r="210" spans="5:11" ht="17.25" customHeight="1">
      <c r="E210" s="122">
        <v>2460</v>
      </c>
      <c r="F210" s="121">
        <f>SUMIF($D$9:$D$148,+E210,$F$9:$F$148)</f>
        <v>36462</v>
      </c>
      <c r="G210" s="121">
        <f>SUMIF($D$9:$D$148,+E210,$G$9:$G$148)</f>
        <v>0</v>
      </c>
      <c r="H210" s="121">
        <f t="shared" si="7"/>
        <v>40048</v>
      </c>
      <c r="I210" s="297">
        <f t="shared" si="11"/>
        <v>40047.53</v>
      </c>
      <c r="J210" s="235">
        <f t="shared" si="6"/>
        <v>0.9999882640831003</v>
      </c>
      <c r="K210" s="304">
        <f t="shared" si="8"/>
        <v>0.47000000000116415</v>
      </c>
    </row>
    <row r="211" spans="5:11" ht="17.25" customHeight="1">
      <c r="E211" s="122">
        <v>2690</v>
      </c>
      <c r="F211" s="121"/>
      <c r="G211" s="121"/>
      <c r="H211" s="121">
        <f t="shared" si="7"/>
        <v>321300</v>
      </c>
      <c r="I211" s="297">
        <f t="shared" si="11"/>
        <v>321300</v>
      </c>
      <c r="J211" s="235">
        <f t="shared" si="6"/>
        <v>1</v>
      </c>
      <c r="K211" s="304">
        <f t="shared" si="8"/>
        <v>0</v>
      </c>
    </row>
    <row r="212" spans="4:11" ht="12.75" customHeight="1">
      <c r="D212" s="35"/>
      <c r="E212" s="122">
        <v>2700</v>
      </c>
      <c r="F212" s="121">
        <f aca="true" t="shared" si="12" ref="F212:F233">SUMIF($D$9:$D$148,+E212,$F$9:$F$148)</f>
        <v>0</v>
      </c>
      <c r="G212" s="121">
        <f aca="true" t="shared" si="13" ref="G212:G233">SUMIF($D$9:$D$148,+E212,$G$9:$G$148)</f>
        <v>0</v>
      </c>
      <c r="H212" s="121">
        <f t="shared" si="7"/>
        <v>51340</v>
      </c>
      <c r="I212" s="297">
        <f t="shared" si="11"/>
        <v>50265.31</v>
      </c>
      <c r="J212" s="235">
        <f t="shared" si="6"/>
        <v>0.9790671990650565</v>
      </c>
      <c r="K212" s="304">
        <f t="shared" si="8"/>
        <v>1074.6900000000023</v>
      </c>
    </row>
    <row r="213" spans="4:11" ht="12.75" customHeight="1">
      <c r="D213" s="35"/>
      <c r="E213" s="122">
        <v>2707</v>
      </c>
      <c r="F213" s="121">
        <f t="shared" si="12"/>
        <v>0</v>
      </c>
      <c r="G213" s="121">
        <f t="shared" si="13"/>
        <v>0</v>
      </c>
      <c r="H213" s="121">
        <f t="shared" si="7"/>
        <v>0</v>
      </c>
      <c r="I213" s="297">
        <f t="shared" si="11"/>
        <v>0</v>
      </c>
      <c r="J213" s="235" t="e">
        <f t="shared" si="6"/>
        <v>#DIV/0!</v>
      </c>
      <c r="K213" s="304">
        <f t="shared" si="8"/>
        <v>0</v>
      </c>
    </row>
    <row r="214" spans="4:11" ht="12.75" customHeight="1">
      <c r="D214" s="35"/>
      <c r="E214" s="122">
        <v>2708</v>
      </c>
      <c r="F214" s="121">
        <f t="shared" si="12"/>
        <v>0</v>
      </c>
      <c r="G214" s="121">
        <f t="shared" si="13"/>
        <v>0</v>
      </c>
      <c r="H214" s="121">
        <f t="shared" si="7"/>
        <v>0</v>
      </c>
      <c r="I214" s="297">
        <f t="shared" si="11"/>
        <v>5.52</v>
      </c>
      <c r="J214" s="235" t="e">
        <f t="shared" si="6"/>
        <v>#DIV/0!</v>
      </c>
      <c r="K214" s="304">
        <f t="shared" si="8"/>
        <v>-5.52</v>
      </c>
    </row>
    <row r="215" spans="4:11" ht="12.75" customHeight="1">
      <c r="D215" s="35"/>
      <c r="E215" s="122">
        <v>2710</v>
      </c>
      <c r="F215" s="121">
        <f t="shared" si="12"/>
        <v>0</v>
      </c>
      <c r="G215" s="121">
        <f t="shared" si="13"/>
        <v>0</v>
      </c>
      <c r="H215" s="121">
        <f t="shared" si="7"/>
        <v>50000</v>
      </c>
      <c r="I215" s="297">
        <f t="shared" si="11"/>
        <v>50000</v>
      </c>
      <c r="J215" s="235">
        <f t="shared" si="6"/>
        <v>1</v>
      </c>
      <c r="K215" s="304">
        <f t="shared" si="8"/>
        <v>0</v>
      </c>
    </row>
    <row r="216" spans="4:11" ht="12.75">
      <c r="D216" s="35"/>
      <c r="E216" s="134">
        <v>2760</v>
      </c>
      <c r="F216" s="121">
        <f t="shared" si="12"/>
        <v>18840570</v>
      </c>
      <c r="G216" s="121">
        <f t="shared" si="13"/>
        <v>0</v>
      </c>
      <c r="H216" s="121">
        <f t="shared" si="7"/>
        <v>63964</v>
      </c>
      <c r="I216" s="297">
        <f t="shared" si="11"/>
        <v>63964</v>
      </c>
      <c r="J216" s="235">
        <f t="shared" si="6"/>
        <v>1</v>
      </c>
      <c r="K216" s="304">
        <f t="shared" si="8"/>
        <v>0</v>
      </c>
    </row>
    <row r="217" spans="4:11" ht="12.75">
      <c r="D217" s="35"/>
      <c r="E217" s="134">
        <v>2780</v>
      </c>
      <c r="F217" s="121">
        <f t="shared" si="12"/>
        <v>0</v>
      </c>
      <c r="G217" s="121">
        <f t="shared" si="13"/>
        <v>0</v>
      </c>
      <c r="H217" s="121">
        <f t="shared" si="7"/>
        <v>0</v>
      </c>
      <c r="I217" s="297">
        <f t="shared" si="11"/>
        <v>0</v>
      </c>
      <c r="J217" s="235" t="e">
        <f t="shared" si="6"/>
        <v>#DIV/0!</v>
      </c>
      <c r="K217" s="304">
        <f t="shared" si="8"/>
        <v>0</v>
      </c>
    </row>
    <row r="218" spans="4:11" ht="12.75">
      <c r="D218" s="35"/>
      <c r="E218" s="134">
        <v>2888</v>
      </c>
      <c r="F218" s="121">
        <f t="shared" si="12"/>
        <v>0</v>
      </c>
      <c r="G218" s="121">
        <f t="shared" si="13"/>
        <v>0</v>
      </c>
      <c r="H218" s="121">
        <f t="shared" si="7"/>
        <v>0</v>
      </c>
      <c r="I218" s="297">
        <f t="shared" si="11"/>
        <v>0</v>
      </c>
      <c r="J218" s="235" t="e">
        <f t="shared" si="6"/>
        <v>#DIV/0!</v>
      </c>
      <c r="K218" s="304">
        <f t="shared" si="8"/>
        <v>0</v>
      </c>
    </row>
    <row r="219" spans="4:11" ht="12.75">
      <c r="D219" s="35"/>
      <c r="E219" s="134">
        <v>2889</v>
      </c>
      <c r="F219" s="121">
        <f t="shared" si="12"/>
        <v>0</v>
      </c>
      <c r="G219" s="121">
        <f t="shared" si="13"/>
        <v>0</v>
      </c>
      <c r="H219" s="121">
        <f t="shared" si="7"/>
        <v>0</v>
      </c>
      <c r="I219" s="297">
        <f t="shared" si="11"/>
        <v>0</v>
      </c>
      <c r="J219" s="235" t="e">
        <f t="shared" si="6"/>
        <v>#DIV/0!</v>
      </c>
      <c r="K219" s="304">
        <f t="shared" si="8"/>
        <v>0</v>
      </c>
    </row>
    <row r="220" spans="4:11" ht="12.75">
      <c r="D220" s="35"/>
      <c r="E220" s="134">
        <v>2910</v>
      </c>
      <c r="F220" s="121">
        <f t="shared" si="12"/>
        <v>0</v>
      </c>
      <c r="G220" s="121">
        <f t="shared" si="13"/>
        <v>0</v>
      </c>
      <c r="H220" s="121">
        <f t="shared" si="7"/>
        <v>0</v>
      </c>
      <c r="I220" s="297">
        <f t="shared" si="11"/>
        <v>0</v>
      </c>
      <c r="J220" s="235" t="e">
        <f t="shared" si="6"/>
        <v>#DIV/0!</v>
      </c>
      <c r="K220" s="304">
        <f t="shared" si="8"/>
        <v>0</v>
      </c>
    </row>
    <row r="221" spans="4:11" ht="12.75">
      <c r="D221" s="35"/>
      <c r="E221" s="122">
        <v>2900</v>
      </c>
      <c r="F221" s="121">
        <f t="shared" si="12"/>
        <v>0</v>
      </c>
      <c r="G221" s="121">
        <f t="shared" si="13"/>
        <v>0</v>
      </c>
      <c r="H221" s="121">
        <f t="shared" si="7"/>
        <v>0</v>
      </c>
      <c r="I221" s="297">
        <f t="shared" si="11"/>
        <v>0</v>
      </c>
      <c r="J221" s="235" t="e">
        <f t="shared" si="6"/>
        <v>#DIV/0!</v>
      </c>
      <c r="K221" s="304">
        <f t="shared" si="8"/>
        <v>0</v>
      </c>
    </row>
    <row r="222" spans="4:11" ht="12.75">
      <c r="D222" s="35"/>
      <c r="E222" s="134">
        <v>2920</v>
      </c>
      <c r="F222" s="121">
        <f t="shared" si="12"/>
        <v>22454009</v>
      </c>
      <c r="G222" s="121">
        <f t="shared" si="13"/>
        <v>0</v>
      </c>
      <c r="H222" s="121">
        <f t="shared" si="7"/>
        <v>24726349</v>
      </c>
      <c r="I222" s="297">
        <f t="shared" si="11"/>
        <v>24726349</v>
      </c>
      <c r="J222" s="235">
        <f t="shared" si="6"/>
        <v>1</v>
      </c>
      <c r="K222" s="304">
        <f>H222-I222:I224</f>
        <v>0</v>
      </c>
    </row>
    <row r="223" spans="4:11" ht="12.75">
      <c r="D223" s="35"/>
      <c r="E223" s="134">
        <v>6208</v>
      </c>
      <c r="F223" s="121">
        <f t="shared" si="12"/>
        <v>0</v>
      </c>
      <c r="G223" s="121">
        <f t="shared" si="13"/>
        <v>0</v>
      </c>
      <c r="H223" s="121">
        <f t="shared" si="7"/>
        <v>47500</v>
      </c>
      <c r="I223" s="297">
        <f t="shared" si="11"/>
        <v>47500</v>
      </c>
      <c r="J223" s="235">
        <f t="shared" si="6"/>
        <v>1</v>
      </c>
      <c r="K223" s="304">
        <f>H223-I223:I225</f>
        <v>0</v>
      </c>
    </row>
    <row r="224" spans="4:11" ht="12.75">
      <c r="D224" s="35"/>
      <c r="E224" s="132">
        <v>6260</v>
      </c>
      <c r="F224" s="121">
        <f t="shared" si="12"/>
        <v>0</v>
      </c>
      <c r="G224" s="121">
        <f t="shared" si="13"/>
        <v>0</v>
      </c>
      <c r="H224" s="121">
        <f t="shared" si="7"/>
        <v>181320</v>
      </c>
      <c r="I224" s="297">
        <f t="shared" si="11"/>
        <v>168744</v>
      </c>
      <c r="J224" s="235">
        <f t="shared" si="6"/>
        <v>0.9306419589675712</v>
      </c>
      <c r="K224" s="304">
        <f t="shared" si="8"/>
        <v>12576</v>
      </c>
    </row>
    <row r="225" spans="4:11" ht="12.75">
      <c r="D225" s="35"/>
      <c r="E225" s="122">
        <v>6290</v>
      </c>
      <c r="F225" s="121">
        <f t="shared" si="12"/>
        <v>0</v>
      </c>
      <c r="G225" s="121">
        <f t="shared" si="13"/>
        <v>0</v>
      </c>
      <c r="H225" s="121">
        <f t="shared" si="7"/>
        <v>0</v>
      </c>
      <c r="I225" s="297">
        <f t="shared" si="11"/>
        <v>0</v>
      </c>
      <c r="J225" s="235" t="e">
        <f t="shared" si="6"/>
        <v>#DIV/0!</v>
      </c>
      <c r="K225" s="304">
        <f t="shared" si="8"/>
        <v>0</v>
      </c>
    </row>
    <row r="226" spans="4:11" ht="12.75">
      <c r="D226" s="35"/>
      <c r="E226" s="122">
        <v>6291</v>
      </c>
      <c r="F226" s="121">
        <f t="shared" si="12"/>
        <v>0</v>
      </c>
      <c r="G226" s="121">
        <f t="shared" si="13"/>
        <v>0</v>
      </c>
      <c r="H226" s="121">
        <f t="shared" si="7"/>
        <v>0</v>
      </c>
      <c r="I226" s="297">
        <f t="shared" si="11"/>
        <v>0</v>
      </c>
      <c r="J226" s="235" t="e">
        <f t="shared" si="6"/>
        <v>#DIV/0!</v>
      </c>
      <c r="K226" s="304">
        <f t="shared" si="8"/>
        <v>0</v>
      </c>
    </row>
    <row r="227" spans="4:11" ht="12.75">
      <c r="D227" s="35"/>
      <c r="E227" s="122">
        <v>6292</v>
      </c>
      <c r="F227" s="121">
        <f t="shared" si="12"/>
        <v>0</v>
      </c>
      <c r="G227" s="121">
        <f t="shared" si="13"/>
        <v>0</v>
      </c>
      <c r="H227" s="121">
        <f t="shared" si="7"/>
        <v>0</v>
      </c>
      <c r="I227" s="297">
        <f t="shared" si="11"/>
        <v>0</v>
      </c>
      <c r="J227" s="235" t="e">
        <f t="shared" si="6"/>
        <v>#DIV/0!</v>
      </c>
      <c r="K227" s="304">
        <f t="shared" si="8"/>
        <v>0</v>
      </c>
    </row>
    <row r="228" spans="4:11" ht="12.75">
      <c r="D228" s="35"/>
      <c r="E228" s="122">
        <v>6298</v>
      </c>
      <c r="F228" s="121">
        <f t="shared" si="12"/>
        <v>0</v>
      </c>
      <c r="G228" s="121">
        <f t="shared" si="13"/>
        <v>0</v>
      </c>
      <c r="H228" s="121">
        <f t="shared" si="7"/>
        <v>0</v>
      </c>
      <c r="I228" s="297">
        <f t="shared" si="11"/>
        <v>0</v>
      </c>
      <c r="J228" s="235" t="e">
        <f t="shared" si="6"/>
        <v>#DIV/0!</v>
      </c>
      <c r="K228" s="304">
        <f t="shared" si="8"/>
        <v>0</v>
      </c>
    </row>
    <row r="229" spans="4:11" ht="12.75">
      <c r="D229" s="35"/>
      <c r="E229" s="122">
        <v>6300</v>
      </c>
      <c r="F229" s="121">
        <f t="shared" si="12"/>
        <v>0</v>
      </c>
      <c r="G229" s="121">
        <f t="shared" si="13"/>
        <v>738252</v>
      </c>
      <c r="H229" s="121">
        <f t="shared" si="7"/>
        <v>910000</v>
      </c>
      <c r="I229" s="297">
        <f t="shared" si="11"/>
        <v>910000</v>
      </c>
      <c r="J229" s="235">
        <f t="shared" si="6"/>
        <v>1</v>
      </c>
      <c r="K229" s="304">
        <f t="shared" si="8"/>
        <v>0</v>
      </c>
    </row>
    <row r="230" spans="4:11" ht="12.75">
      <c r="D230" s="35"/>
      <c r="E230" s="135">
        <v>6410</v>
      </c>
      <c r="F230" s="121">
        <f t="shared" si="12"/>
        <v>0</v>
      </c>
      <c r="G230" s="121">
        <f t="shared" si="13"/>
        <v>130000</v>
      </c>
      <c r="H230" s="121">
        <f t="shared" si="7"/>
        <v>240000</v>
      </c>
      <c r="I230" s="297">
        <f t="shared" si="11"/>
        <v>238709.99</v>
      </c>
      <c r="J230" s="235">
        <f t="shared" si="6"/>
        <v>0.9946249583333333</v>
      </c>
      <c r="K230" s="304">
        <f t="shared" si="8"/>
        <v>1290.0100000000093</v>
      </c>
    </row>
    <row r="231" spans="4:11" ht="12.75">
      <c r="D231" s="35"/>
      <c r="E231" s="135">
        <v>6430</v>
      </c>
      <c r="F231" s="121">
        <f t="shared" si="12"/>
        <v>0</v>
      </c>
      <c r="G231" s="121">
        <f t="shared" si="13"/>
        <v>0</v>
      </c>
      <c r="H231" s="121">
        <f t="shared" si="7"/>
        <v>61600</v>
      </c>
      <c r="I231" s="297">
        <f t="shared" si="11"/>
        <v>61599.96</v>
      </c>
      <c r="J231" s="235">
        <f t="shared" si="6"/>
        <v>0.9999993506493506</v>
      </c>
      <c r="K231" s="304">
        <f t="shared" si="8"/>
        <v>0.040000000000873115</v>
      </c>
    </row>
    <row r="232" spans="4:11" ht="12.75">
      <c r="D232" s="35"/>
      <c r="E232" s="133">
        <v>6610</v>
      </c>
      <c r="F232" s="121">
        <f t="shared" si="12"/>
        <v>0</v>
      </c>
      <c r="G232" s="121">
        <f t="shared" si="13"/>
        <v>0</v>
      </c>
      <c r="H232" s="121">
        <f t="shared" si="7"/>
        <v>150000</v>
      </c>
      <c r="I232" s="297">
        <f t="shared" si="11"/>
        <v>150000</v>
      </c>
      <c r="J232" s="235">
        <f t="shared" si="6"/>
        <v>1</v>
      </c>
      <c r="K232" s="304">
        <f t="shared" si="8"/>
        <v>0</v>
      </c>
    </row>
    <row r="233" spans="4:11" ht="12.75">
      <c r="D233" s="35"/>
      <c r="E233" s="122">
        <v>6650</v>
      </c>
      <c r="F233" s="121">
        <f t="shared" si="12"/>
        <v>0</v>
      </c>
      <c r="G233" s="121">
        <f t="shared" si="13"/>
        <v>0</v>
      </c>
      <c r="H233" s="121">
        <f t="shared" si="7"/>
        <v>0</v>
      </c>
      <c r="I233" s="297">
        <f t="shared" si="11"/>
        <v>0</v>
      </c>
      <c r="J233" s="235" t="e">
        <f t="shared" si="6"/>
        <v>#DIV/0!</v>
      </c>
      <c r="K233" s="304">
        <f t="shared" si="8"/>
        <v>0</v>
      </c>
    </row>
    <row r="234" spans="4:11" ht="12.75">
      <c r="D234" s="35"/>
      <c r="E234" s="122">
        <v>8120</v>
      </c>
      <c r="F234" s="121"/>
      <c r="G234" s="121"/>
      <c r="H234" s="121">
        <f t="shared" si="7"/>
        <v>0</v>
      </c>
      <c r="I234" s="297">
        <f t="shared" si="11"/>
        <v>0</v>
      </c>
      <c r="J234" s="235" t="e">
        <f t="shared" si="6"/>
        <v>#DIV/0!</v>
      </c>
      <c r="K234" s="304">
        <f t="shared" si="8"/>
        <v>0</v>
      </c>
    </row>
    <row r="235" spans="4:11" ht="12.75">
      <c r="D235" s="35"/>
      <c r="E235" s="122"/>
      <c r="F235" s="121"/>
      <c r="G235" s="121"/>
      <c r="H235" s="121"/>
      <c r="I235" s="297"/>
      <c r="J235" s="235" t="e">
        <f t="shared" si="6"/>
        <v>#DIV/0!</v>
      </c>
      <c r="K235" s="304">
        <f t="shared" si="8"/>
        <v>0</v>
      </c>
    </row>
    <row r="236" spans="4:11" ht="12.75">
      <c r="D236" s="35"/>
      <c r="E236" s="122"/>
      <c r="F236" s="121">
        <f>SUM(F180:F235)</f>
        <v>59244335</v>
      </c>
      <c r="G236" s="121">
        <f>SUM(G180:G235)</f>
        <v>4776904</v>
      </c>
      <c r="H236" s="121">
        <f>SUM(H180:H235)</f>
        <v>56945641</v>
      </c>
      <c r="I236" s="297">
        <f>SUM(I180:I235)</f>
        <v>57231607.730000004</v>
      </c>
      <c r="J236" s="235">
        <f t="shared" si="6"/>
        <v>1.005021749250307</v>
      </c>
      <c r="K236" s="304">
        <f t="shared" si="8"/>
        <v>-285966.7300000042</v>
      </c>
    </row>
    <row r="237" spans="4:11" ht="12.75">
      <c r="D237" s="35"/>
      <c r="E237" s="122"/>
      <c r="F237" s="122"/>
      <c r="G237" s="123"/>
      <c r="H237" s="123"/>
      <c r="I237" s="298"/>
      <c r="J237" s="235" t="e">
        <f t="shared" si="6"/>
        <v>#DIV/0!</v>
      </c>
      <c r="K237" s="304">
        <f t="shared" si="8"/>
        <v>0</v>
      </c>
    </row>
    <row r="238" spans="4:11" ht="12.75">
      <c r="D238" s="35"/>
      <c r="E238" s="122"/>
      <c r="F238" s="122"/>
      <c r="G238" s="123"/>
      <c r="H238" s="123"/>
      <c r="I238" s="298"/>
      <c r="J238" s="235" t="e">
        <f t="shared" si="6"/>
        <v>#DIV/0!</v>
      </c>
      <c r="K238" s="304">
        <f t="shared" si="8"/>
        <v>0</v>
      </c>
    </row>
    <row r="239" spans="4:11" ht="12.75">
      <c r="D239" s="35"/>
      <c r="E239" s="124"/>
      <c r="F239" s="124"/>
      <c r="G239" s="64"/>
      <c r="H239" s="64"/>
      <c r="I239" s="299"/>
      <c r="J239" s="235" t="e">
        <f t="shared" si="6"/>
        <v>#DIV/0!</v>
      </c>
      <c r="K239" s="304">
        <f t="shared" si="8"/>
        <v>0</v>
      </c>
    </row>
    <row r="240" spans="4:11" ht="12.75">
      <c r="D240" s="35"/>
      <c r="E240" s="122" t="s">
        <v>74</v>
      </c>
      <c r="F240" s="121">
        <f>SUM(F230,F201:F202)</f>
        <v>0</v>
      </c>
      <c r="G240" s="121">
        <f>SUM(G230,G201:G202)</f>
        <v>4038652</v>
      </c>
      <c r="H240" s="121">
        <f>SUM(H201,H202,H230)</f>
        <v>5919064</v>
      </c>
      <c r="I240" s="297">
        <f>SUM(I201,I202,I230)</f>
        <v>5825289.720000001</v>
      </c>
      <c r="J240" s="235">
        <f t="shared" si="6"/>
        <v>0.9841572451320008</v>
      </c>
      <c r="K240" s="304">
        <f t="shared" si="8"/>
        <v>93774.27999999933</v>
      </c>
    </row>
    <row r="241" spans="4:11" ht="12.75">
      <c r="D241" s="35"/>
      <c r="E241" s="122" t="s">
        <v>75</v>
      </c>
      <c r="F241" s="121">
        <f>SUM(F231,F203:F204)</f>
        <v>4992020</v>
      </c>
      <c r="G241" s="121">
        <f>SUM(G231,G203:G204)</f>
        <v>0</v>
      </c>
      <c r="H241" s="121">
        <f>SUM(H231,H203:H204)</f>
        <v>6347602</v>
      </c>
      <c r="I241" s="297">
        <f>SUM(I231,I203:I204)</f>
        <v>6347503.859999999</v>
      </c>
      <c r="J241" s="235">
        <f t="shared" si="6"/>
        <v>0.999984539043248</v>
      </c>
      <c r="K241" s="304">
        <f t="shared" si="8"/>
        <v>98.14000000059605</v>
      </c>
    </row>
    <row r="242" spans="4:11" ht="12.75">
      <c r="D242" s="35"/>
      <c r="E242" s="122"/>
      <c r="F242" s="122"/>
      <c r="G242" s="123"/>
      <c r="H242" s="123"/>
      <c r="I242" s="298"/>
      <c r="J242" s="235" t="e">
        <f t="shared" si="6"/>
        <v>#DIV/0!</v>
      </c>
      <c r="K242" s="304">
        <f t="shared" si="8"/>
        <v>0</v>
      </c>
    </row>
    <row r="243" spans="4:13" ht="12.75">
      <c r="D243" s="35"/>
      <c r="E243" s="122" t="s">
        <v>76</v>
      </c>
      <c r="F243" s="125">
        <f>SUM(F240:F242)</f>
        <v>4992020</v>
      </c>
      <c r="G243" s="125">
        <f>SUM(G240:G242)</f>
        <v>4038652</v>
      </c>
      <c r="H243" s="125">
        <f>SUM(H240:H242)</f>
        <v>12266666</v>
      </c>
      <c r="I243" s="300">
        <f>SUM(I240:I242)</f>
        <v>12172793.58</v>
      </c>
      <c r="J243" s="235">
        <f t="shared" si="6"/>
        <v>0.9923473566493128</v>
      </c>
      <c r="K243" s="304">
        <f t="shared" si="8"/>
        <v>93872.41999999993</v>
      </c>
      <c r="M243" s="145">
        <f>H243/$H$259*100</f>
        <v>21.541009609497593</v>
      </c>
    </row>
    <row r="244" spans="4:13" ht="12.75">
      <c r="D244" s="35"/>
      <c r="E244" s="122" t="s">
        <v>77</v>
      </c>
      <c r="F244" s="125">
        <f>SUM(F245:F248)</f>
        <v>22454009</v>
      </c>
      <c r="G244" s="125">
        <f>SUM(G245:G248)</f>
        <v>0</v>
      </c>
      <c r="H244" s="125">
        <f>SUM(H245:H248)</f>
        <v>24790313</v>
      </c>
      <c r="I244" s="300">
        <f>SUM(I245:I248)</f>
        <v>24790313</v>
      </c>
      <c r="J244" s="235">
        <f t="shared" si="6"/>
        <v>1</v>
      </c>
      <c r="K244" s="304">
        <f t="shared" si="8"/>
        <v>0</v>
      </c>
      <c r="M244" s="145">
        <f aca="true" t="shared" si="14" ref="M244:M259">H244/$H$259*100</f>
        <v>43.533293443830054</v>
      </c>
    </row>
    <row r="245" spans="4:13" ht="12.75">
      <c r="D245" s="35"/>
      <c r="E245" s="122" t="s">
        <v>78</v>
      </c>
      <c r="F245" s="121">
        <f>F63</f>
        <v>18840570</v>
      </c>
      <c r="G245" s="121">
        <f>G63</f>
        <v>0</v>
      </c>
      <c r="H245" s="121">
        <f>H63</f>
        <v>21153399</v>
      </c>
      <c r="I245" s="297">
        <f>I63</f>
        <v>21153399</v>
      </c>
      <c r="J245" s="235">
        <f t="shared" si="6"/>
        <v>1</v>
      </c>
      <c r="K245" s="304">
        <f t="shared" si="8"/>
        <v>0</v>
      </c>
      <c r="M245" s="145">
        <f t="shared" si="14"/>
        <v>37.14665183942701</v>
      </c>
    </row>
    <row r="246" spans="4:13" ht="12.75">
      <c r="D246" s="35"/>
      <c r="E246" s="122" t="s">
        <v>87</v>
      </c>
      <c r="F246" s="121">
        <f>F72</f>
        <v>1742641</v>
      </c>
      <c r="G246" s="121">
        <f>G72</f>
        <v>0</v>
      </c>
      <c r="H246" s="121">
        <f>H72</f>
        <v>1706395</v>
      </c>
      <c r="I246" s="297">
        <f>I72</f>
        <v>1706395</v>
      </c>
      <c r="J246" s="235">
        <f t="shared" si="6"/>
        <v>1</v>
      </c>
      <c r="K246" s="304">
        <f t="shared" si="8"/>
        <v>0</v>
      </c>
      <c r="M246" s="145">
        <f t="shared" si="14"/>
        <v>2.9965331323603857</v>
      </c>
    </row>
    <row r="247" spans="4:13" ht="12.75">
      <c r="D247" s="35"/>
      <c r="E247" s="122" t="s">
        <v>79</v>
      </c>
      <c r="F247" s="121">
        <f>F67</f>
        <v>1870798</v>
      </c>
      <c r="G247" s="121">
        <f>G67</f>
        <v>0</v>
      </c>
      <c r="H247" s="121">
        <f>H67</f>
        <v>1866555</v>
      </c>
      <c r="I247" s="297">
        <f>I67</f>
        <v>1866555</v>
      </c>
      <c r="J247" s="235">
        <f t="shared" si="6"/>
        <v>1</v>
      </c>
      <c r="K247" s="304">
        <f t="shared" si="8"/>
        <v>0</v>
      </c>
      <c r="M247" s="145">
        <f t="shared" si="14"/>
        <v>3.2777838078949713</v>
      </c>
    </row>
    <row r="248" spans="4:13" ht="12.75">
      <c r="D248" s="35"/>
      <c r="E248" s="122" t="s">
        <v>128</v>
      </c>
      <c r="F248" s="121"/>
      <c r="G248" s="121"/>
      <c r="H248" s="121">
        <f>H65</f>
        <v>63964</v>
      </c>
      <c r="I248" s="297">
        <f>I65</f>
        <v>63964</v>
      </c>
      <c r="J248" s="235">
        <f t="shared" si="6"/>
        <v>1</v>
      </c>
      <c r="K248" s="304">
        <f aca="true" t="shared" si="15" ref="K248:K259">H248-I248:I249</f>
        <v>0</v>
      </c>
      <c r="M248" s="145">
        <f t="shared" si="14"/>
        <v>0.11232466414769131</v>
      </c>
    </row>
    <row r="249" spans="4:13" ht="12.75">
      <c r="D249" s="35"/>
      <c r="E249" s="122" t="s">
        <v>80</v>
      </c>
      <c r="F249" s="121">
        <f>F224</f>
        <v>0</v>
      </c>
      <c r="G249" s="121">
        <f>G224</f>
        <v>0</v>
      </c>
      <c r="H249" s="121">
        <f>H224</f>
        <v>181320</v>
      </c>
      <c r="I249" s="297">
        <f>I224</f>
        <v>168744</v>
      </c>
      <c r="J249" s="235">
        <f aca="true" t="shared" si="16" ref="J249:J259">I249/H249</f>
        <v>0.9306419589675712</v>
      </c>
      <c r="K249" s="304">
        <f t="shared" si="15"/>
        <v>12576</v>
      </c>
      <c r="M249" s="145">
        <f t="shared" si="14"/>
        <v>0.3184089191304388</v>
      </c>
    </row>
    <row r="250" spans="4:13" ht="12.75">
      <c r="D250" s="35"/>
      <c r="E250" s="122" t="s">
        <v>81</v>
      </c>
      <c r="F250" s="121">
        <f>SUM(F209)</f>
        <v>0</v>
      </c>
      <c r="G250" s="121">
        <f>SUM(G209)</f>
        <v>0</v>
      </c>
      <c r="H250" s="121">
        <f>SUM(H209)</f>
        <v>104700</v>
      </c>
      <c r="I250" s="297">
        <f>SUM(I209)</f>
        <v>23521.65</v>
      </c>
      <c r="J250" s="235">
        <f t="shared" si="16"/>
        <v>0.22465759312320918</v>
      </c>
      <c r="K250" s="304">
        <f t="shared" si="15"/>
        <v>81178.35</v>
      </c>
      <c r="M250" s="145">
        <f t="shared" si="14"/>
        <v>0.18385955125169282</v>
      </c>
    </row>
    <row r="251" spans="4:13" ht="12.75">
      <c r="D251" s="35"/>
      <c r="E251" s="122" t="s">
        <v>82</v>
      </c>
      <c r="F251" s="126">
        <f aca="true" t="shared" si="17" ref="F251:H252">SUM(F180)</f>
        <v>6572681</v>
      </c>
      <c r="G251" s="126">
        <f t="shared" si="17"/>
        <v>0</v>
      </c>
      <c r="H251" s="126">
        <f t="shared" si="17"/>
        <v>8591245</v>
      </c>
      <c r="I251" s="301">
        <f>SUM(I180)</f>
        <v>9251459</v>
      </c>
      <c r="J251" s="235">
        <f t="shared" si="16"/>
        <v>1.0768473021081344</v>
      </c>
      <c r="K251" s="304">
        <f t="shared" si="15"/>
        <v>-660214</v>
      </c>
      <c r="M251" s="145">
        <f t="shared" si="14"/>
        <v>15.086747377204867</v>
      </c>
    </row>
    <row r="252" spans="4:13" ht="12.75">
      <c r="D252" s="35"/>
      <c r="E252" s="122" t="s">
        <v>86</v>
      </c>
      <c r="F252" s="126">
        <f t="shared" si="17"/>
        <v>500000</v>
      </c>
      <c r="G252" s="126">
        <f t="shared" si="17"/>
        <v>0</v>
      </c>
      <c r="H252" s="126">
        <f t="shared" si="17"/>
        <v>700000</v>
      </c>
      <c r="I252" s="301">
        <f>SUM(I181)</f>
        <v>534724.11</v>
      </c>
      <c r="J252" s="235">
        <f t="shared" si="16"/>
        <v>0.7638915857142857</v>
      </c>
      <c r="K252" s="304">
        <f>H252-I252:I254</f>
        <v>165275.89</v>
      </c>
      <c r="M252" s="145">
        <f t="shared" si="14"/>
        <v>1.2292424630008116</v>
      </c>
    </row>
    <row r="253" spans="4:13" ht="12.75">
      <c r="D253" s="35"/>
      <c r="E253" s="122" t="s">
        <v>140</v>
      </c>
      <c r="F253" s="126"/>
      <c r="G253" s="126"/>
      <c r="H253" s="126">
        <f>SUM(H200,H223)</f>
        <v>249901</v>
      </c>
      <c r="I253" s="126">
        <f>SUM(I200,I223)</f>
        <v>249810.43</v>
      </c>
      <c r="J253" s="235"/>
      <c r="K253" s="304"/>
      <c r="M253" s="145"/>
    </row>
    <row r="254" spans="4:14" ht="12.75">
      <c r="D254" s="35"/>
      <c r="E254" s="122" t="s">
        <v>88</v>
      </c>
      <c r="F254" s="131">
        <f>SUM(F205,F206)</f>
        <v>579200</v>
      </c>
      <c r="G254" s="131">
        <f>SUM(G205,G206)</f>
        <v>0</v>
      </c>
      <c r="H254" s="131">
        <f>SUM(H205,H206)</f>
        <v>658304</v>
      </c>
      <c r="I254" s="302">
        <f>SUM(I205,I206)</f>
        <v>662103.5</v>
      </c>
      <c r="J254" s="235">
        <f t="shared" si="16"/>
        <v>1.0057716495722342</v>
      </c>
      <c r="K254" s="304">
        <f t="shared" si="15"/>
        <v>-3799.5</v>
      </c>
      <c r="M254" s="145">
        <f t="shared" si="14"/>
        <v>1.1560217576618377</v>
      </c>
      <c r="N254" s="145">
        <f>(H254+H257)/H259*100</f>
        <v>1.1560217576618377</v>
      </c>
    </row>
    <row r="255" spans="4:13" ht="12.75">
      <c r="D255" s="35"/>
      <c r="E255" s="122" t="s">
        <v>83</v>
      </c>
      <c r="F255" s="131">
        <f>SUM(F233,F225:F229,F221,F210:F215,F207,F182:F199)</f>
        <v>5305855</v>
      </c>
      <c r="G255" s="131">
        <f>SUM(G233,G225:G229,G221,G210:G215,G207,G182:G199)</f>
        <v>738252</v>
      </c>
      <c r="H255" s="131">
        <f>SUM(H182:H199,H207,H208,H210,H211,H212:H213,H214:H215,H220,H221,H228,H229,H234)</f>
        <v>9253192</v>
      </c>
      <c r="I255" s="302">
        <f>SUM(I182:I199,I207,I208,I210,I211,I212:I213,I214:I215,I220,I221,I228,I229,I234)</f>
        <v>9228138.46</v>
      </c>
      <c r="J255" s="235">
        <f t="shared" si="16"/>
        <v>0.997292443515708</v>
      </c>
      <c r="K255" s="304">
        <f t="shared" si="15"/>
        <v>25053.539999999106</v>
      </c>
      <c r="M255" s="145">
        <f t="shared" si="14"/>
        <v>16.249166463856294</v>
      </c>
    </row>
    <row r="256" spans="4:13" ht="12.75">
      <c r="D256" s="35"/>
      <c r="E256" s="122" t="s">
        <v>84</v>
      </c>
      <c r="F256" s="143">
        <f>SUM(F232)</f>
        <v>0</v>
      </c>
      <c r="G256" s="143">
        <f>SUM(G232)</f>
        <v>0</v>
      </c>
      <c r="H256" s="143">
        <f>SUM(H232)</f>
        <v>150000</v>
      </c>
      <c r="I256" s="303">
        <f>SUM(I232)</f>
        <v>150000</v>
      </c>
      <c r="J256" s="235">
        <f t="shared" si="16"/>
        <v>1</v>
      </c>
      <c r="K256" s="304">
        <f t="shared" si="15"/>
        <v>0</v>
      </c>
      <c r="M256" s="145">
        <f t="shared" si="14"/>
        <v>0.26340909921445965</v>
      </c>
    </row>
    <row r="257" spans="4:13" ht="12.75">
      <c r="D257" s="35"/>
      <c r="E257" s="122" t="s">
        <v>98</v>
      </c>
      <c r="F257" s="143">
        <f>SUM(F218:F219)</f>
        <v>0</v>
      </c>
      <c r="G257" s="143">
        <f>SUM(G218:G219)</f>
        <v>0</v>
      </c>
      <c r="H257" s="143">
        <f>SUM(H218:H219)</f>
        <v>0</v>
      </c>
      <c r="I257" s="303">
        <f>SUM(I218:I219)</f>
        <v>0</v>
      </c>
      <c r="J257" s="235" t="e">
        <f t="shared" si="16"/>
        <v>#DIV/0!</v>
      </c>
      <c r="K257" s="304">
        <f t="shared" si="15"/>
        <v>0</v>
      </c>
      <c r="M257" s="145">
        <f t="shared" si="14"/>
        <v>0</v>
      </c>
    </row>
    <row r="258" spans="4:13" ht="12.75">
      <c r="D258" s="35"/>
      <c r="E258" s="122" t="s">
        <v>83</v>
      </c>
      <c r="F258" s="126">
        <f>SUM(F254:F256)</f>
        <v>5885055</v>
      </c>
      <c r="G258" s="126">
        <f>SUM(G254:G256)</f>
        <v>738252</v>
      </c>
      <c r="H258" s="126">
        <f>SUM(H254:H256)</f>
        <v>10061496</v>
      </c>
      <c r="I258" s="301">
        <f>SUM(I254:I256)</f>
        <v>10040241.96</v>
      </c>
      <c r="J258" s="235">
        <f t="shared" si="16"/>
        <v>0.9978875864980715</v>
      </c>
      <c r="K258" s="304">
        <f t="shared" si="15"/>
        <v>21254.039999999106</v>
      </c>
      <c r="M258">
        <f t="shared" si="14"/>
        <v>17.66859732073259</v>
      </c>
    </row>
    <row r="259" spans="4:13" ht="12.75">
      <c r="D259" s="35"/>
      <c r="E259" s="122" t="s">
        <v>85</v>
      </c>
      <c r="F259" s="127">
        <f>SUM(F243,F244,F249:F252,F258,F257)</f>
        <v>40403765</v>
      </c>
      <c r="G259" s="127">
        <f>SUM(G243,G244,G249:G252,G258,G257)</f>
        <v>4776904</v>
      </c>
      <c r="H259" s="127">
        <f>SUM(H243,H253,H244,H249:H252,H258,H257)</f>
        <v>56945641</v>
      </c>
      <c r="I259" s="298">
        <f>SUM(I243,I244,I253,I249:I252,I258,I257)</f>
        <v>57231607.73</v>
      </c>
      <c r="J259" s="235">
        <f t="shared" si="16"/>
        <v>1.0050217492503069</v>
      </c>
      <c r="K259" s="304">
        <f t="shared" si="15"/>
        <v>-285966.7299999967</v>
      </c>
      <c r="M259">
        <f t="shared" si="14"/>
        <v>100</v>
      </c>
    </row>
    <row r="260" spans="4:13" ht="12.75">
      <c r="D260" s="35"/>
      <c r="E260" s="124"/>
      <c r="F260" s="122"/>
      <c r="G260" s="123"/>
      <c r="H260" s="64"/>
      <c r="I260" s="64"/>
      <c r="J260" s="238"/>
      <c r="M260">
        <f>SUM(M243,M244,M251,M252,M254,M255,M257)</f>
        <v>98.79548111505146</v>
      </c>
    </row>
    <row r="261" spans="4:10" ht="12.75">
      <c r="D261" s="35"/>
      <c r="E261" s="124"/>
      <c r="F261" s="124"/>
      <c r="G261" s="128"/>
      <c r="H261" s="128"/>
      <c r="I261" s="128"/>
      <c r="J261" s="238"/>
    </row>
    <row r="262" spans="5:9" ht="12.75">
      <c r="E262" s="238" t="s">
        <v>125</v>
      </c>
      <c r="I262" s="334">
        <f>SUM(I180:I193,I195:I222,I234)</f>
        <v>55651552.92999999</v>
      </c>
    </row>
    <row r="263" spans="5:9" ht="12.75">
      <c r="E263" t="s">
        <v>123</v>
      </c>
      <c r="I263" s="334">
        <f>SUM(I223:I233)</f>
        <v>1576553.95</v>
      </c>
    </row>
    <row r="264" spans="5:9" ht="12.75">
      <c r="E264" t="s">
        <v>124</v>
      </c>
      <c r="I264" s="334">
        <f>SUM(I194)</f>
        <v>3500.85</v>
      </c>
    </row>
    <row r="265" ht="12.75">
      <c r="I265" s="334">
        <f>SUM(I262:I264)</f>
        <v>57231607.73</v>
      </c>
    </row>
  </sheetData>
  <sheetProtection/>
  <mergeCells count="12">
    <mergeCell ref="A1:B1"/>
    <mergeCell ref="H1:J1"/>
    <mergeCell ref="A2:J2"/>
    <mergeCell ref="C4:D4"/>
    <mergeCell ref="L72:L99"/>
    <mergeCell ref="L100:L121"/>
    <mergeCell ref="L122:L144"/>
    <mergeCell ref="L145:L175"/>
    <mergeCell ref="C5:D5"/>
    <mergeCell ref="L1:L24"/>
    <mergeCell ref="L25:L47"/>
    <mergeCell ref="L48:L71"/>
  </mergeCells>
  <printOptions/>
  <pageMargins left="0.84" right="0.35" top="0.25" bottom="0.17" header="1.1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w Gostyniu</cp:lastModifiedBy>
  <cp:lastPrinted>2009-03-13T13:26:02Z</cp:lastPrinted>
  <dcterms:created xsi:type="dcterms:W3CDTF">2002-10-30T17:51:33Z</dcterms:created>
  <dcterms:modified xsi:type="dcterms:W3CDTF">2009-03-23T12:21:11Z</dcterms:modified>
  <cp:category/>
  <cp:version/>
  <cp:contentType/>
  <cp:contentStatus/>
</cp:coreProperties>
</file>